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hidePivotFieldList="1"/>
  <mc:AlternateContent xmlns:mc="http://schemas.openxmlformats.org/markup-compatibility/2006">
    <mc:Choice Requires="x15">
      <x15ac:absPath xmlns:x15ac="http://schemas.microsoft.com/office/spreadsheetml/2010/11/ac" url="https://uonstaff-my.sharepoint.com/personal/cm806_newcastle_edu_au/Documents/Desktop/2022 Policy Work/Plans and Work/VC Division/Financial Services/Project and Consultancy Revenue Procedure/"/>
    </mc:Choice>
  </mc:AlternateContent>
  <xr:revisionPtr revIDLastSave="0" documentId="8_{D13378D3-D489-4F6E-B5DB-96A2738929BF}" xr6:coauthVersionLast="47" xr6:coauthVersionMax="47" xr10:uidLastSave="{00000000-0000-0000-0000-000000000000}"/>
  <bookViews>
    <workbookView xWindow="-120" yWindow="-120" windowWidth="29040" windowHeight="15840" tabRatio="951" xr2:uid="{00000000-000D-0000-FFFF-FFFF00000000}"/>
  </bookViews>
  <sheets>
    <sheet name="Summary" sheetId="7" r:id="rId1"/>
    <sheet name="Sign-off" sheetId="11" r:id="rId2"/>
    <sheet name="Checklist" sheetId="10" r:id="rId3"/>
    <sheet name="Financial Assumptions" sheetId="6" r:id="rId4"/>
    <sheet name="iLab Charge Summary" sheetId="15" state="hidden" r:id="rId5"/>
    <sheet name="Lookups" sheetId="5" state="hidden" r:id="rId6"/>
  </sheets>
  <externalReferences>
    <externalReference r:id="rId7"/>
  </externalReferences>
  <definedNames>
    <definedName name="Campus_Elec">[1]Utility_Rates!$D$12:$D$24</definedName>
    <definedName name="Campus_Gas">[1]Utility_Rates!$D$27:$D$30</definedName>
    <definedName name="Campus_Water">[1]Utility_Rates!$D$33:$D$38</definedName>
    <definedName name="Cash_Terms" localSheetId="2">Lookups!#REF!</definedName>
    <definedName name="Cash_Terms" localSheetId="1">Lookups!#REF!</definedName>
    <definedName name="Cash_Terms" localSheetId="0">Lookups!#REF!</definedName>
    <definedName name="Cash_Terms">Lookups!#REF!</definedName>
    <definedName name="CHG_TYPE">Lookups!$U$5:$U$7</definedName>
    <definedName name="Discount_Rate" localSheetId="2">#REF!</definedName>
    <definedName name="Discount_Rate" localSheetId="1">#REF!</definedName>
    <definedName name="Discount_Rate" localSheetId="0">#REF!</definedName>
    <definedName name="Discount_Rate">#REF!</definedName>
    <definedName name="Discount_Timing" localSheetId="2">Lookups!#REF!</definedName>
    <definedName name="Discount_Timing" localSheetId="1">Lookups!#REF!</definedName>
    <definedName name="Discount_Timing" localSheetId="0">Lookups!#REF!</definedName>
    <definedName name="Discount_Timing">Lookups!#REF!</definedName>
    <definedName name="Discount_Timing_Ref" localSheetId="2">Lookups!#REF!</definedName>
    <definedName name="Discount_Timing_Ref" localSheetId="1">Lookups!#REF!</definedName>
    <definedName name="Discount_Timing_Ref" localSheetId="0">Lookups!#REF!</definedName>
    <definedName name="Discount_Timing_Ref">Lookups!#REF!</definedName>
    <definedName name="EQUIP_TYPE">Lookups!$V$5:$V$10</definedName>
    <definedName name="Error_Check" localSheetId="2">Checklist!#REF!</definedName>
    <definedName name="Error_Check" localSheetId="1">'Sign-off'!#REF!</definedName>
    <definedName name="Error_Check" localSheetId="0">Summary!#REF!</definedName>
    <definedName name="Error_Check">#REF!</definedName>
    <definedName name="Fixed_Asset_Class" localSheetId="2">Lookups!#REF!</definedName>
    <definedName name="Fixed_Asset_Class" localSheetId="1">Lookups!#REF!</definedName>
    <definedName name="Fixed_Asset_Class" localSheetId="0">Lookups!#REF!</definedName>
    <definedName name="Fixed_Asset_Class">Lookups!#REF!</definedName>
    <definedName name="Fund">Lookups!$D$6:$D$8</definedName>
    <definedName name="Inflation" localSheetId="2">Lookups!#REF!</definedName>
    <definedName name="Inflation" localSheetId="1">Lookups!#REF!</definedName>
    <definedName name="Inflation" localSheetId="0">Lookups!#REF!</definedName>
    <definedName name="Inflation">Lookups!#REF!</definedName>
    <definedName name="Location_Code" localSheetId="2">Lookups!#REF!</definedName>
    <definedName name="Location_Code" localSheetId="1">Lookups!#REF!</definedName>
    <definedName name="Location_Code" localSheetId="0">Lookups!#REF!</definedName>
    <definedName name="Location_Code">Lookups!#REF!</definedName>
    <definedName name="Location_Name" localSheetId="2">Lookups!#REF!</definedName>
    <definedName name="Location_Name" localSheetId="1">Lookups!#REF!</definedName>
    <definedName name="Location_Name" localSheetId="0">Lookups!#REF!</definedName>
    <definedName name="Location_Name">Lookups!#REF!</definedName>
    <definedName name="Maintenance_Response" localSheetId="2">Lookups!#REF!</definedName>
    <definedName name="Maintenance_Response" localSheetId="1">Lookups!#REF!</definedName>
    <definedName name="Maintenance_Response" localSheetId="0">Lookups!#REF!</definedName>
    <definedName name="Maintenance_Response">Lookups!#REF!</definedName>
    <definedName name="Model_Name" localSheetId="2">Checklist!#REF!</definedName>
    <definedName name="Model_Name" localSheetId="1">'Sign-off'!#REF!</definedName>
    <definedName name="Model_Name" localSheetId="0">Summary!$E$11</definedName>
    <definedName name="Model_Name">#REF!</definedName>
    <definedName name="Months" localSheetId="2">Lookups!#REF!</definedName>
    <definedName name="Months" localSheetId="1">Lookups!#REF!</definedName>
    <definedName name="Months" localSheetId="0">Lookups!#REF!</definedName>
    <definedName name="Months">Lookups!#REF!</definedName>
    <definedName name="Months_In_Year" localSheetId="2">Lookups!#REF!</definedName>
    <definedName name="Months_In_Year" localSheetId="1">Lookups!#REF!</definedName>
    <definedName name="Months_In_Year" localSheetId="0">Lookups!#REF!</definedName>
    <definedName name="Months_In_Year">Lookups!#REF!</definedName>
    <definedName name="Mthly_Periods">[1]PeriodAssumptions!$F$28</definedName>
    <definedName name="Nom_Disc" localSheetId="2">Lookups!#REF!</definedName>
    <definedName name="Nom_Disc" localSheetId="1">Lookups!#REF!</definedName>
    <definedName name="Nom_Disc" localSheetId="0">Lookups!#REF!</definedName>
    <definedName name="Nom_Disc">Lookups!#REF!</definedName>
    <definedName name="Number_Periods">[1]PeriodAssumptions!$F$29</definedName>
    <definedName name="Period_Lookup" localSheetId="2">Lookups!#REF!</definedName>
    <definedName name="Period_Lookup" localSheetId="1">Lookups!#REF!</definedName>
    <definedName name="Period_Lookup" localSheetId="0">Lookups!#REF!</definedName>
    <definedName name="Period_Lookup">Lookups!#REF!</definedName>
    <definedName name="_xlnm.Print_Area" localSheetId="2">Checklist!$A$1:$F$25</definedName>
    <definedName name="_xlnm.Print_Area" localSheetId="3">'Financial Assumptions'!$A$1:$K$62</definedName>
    <definedName name="_xlnm.Print_Area" localSheetId="1">'Sign-off'!$A$1:$K$44</definedName>
    <definedName name="Salary_Level">Lookups!$D$18:$D$164</definedName>
    <definedName name="Start_Mth_Ref">[1]PeriodAssumptions!$G$26</definedName>
    <definedName name="Start_Yr">[1]PeriodAssumptions!$F$27</definedName>
    <definedName name="USAGE_TYPE">Lookups!$T$5:$T$7</definedName>
    <definedName name="Weeks_In_Year" localSheetId="2">Lookups!#REF!</definedName>
    <definedName name="Weeks_In_Year" localSheetId="1">Lookups!#REF!</definedName>
    <definedName name="Weeks_In_Year" localSheetId="0">Lookups!#REF!</definedName>
    <definedName name="Weeks_In_Year">Lookups!#REF!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5" i="6" l="1"/>
  <c r="H21" i="6" s="1"/>
  <c r="I61" i="6"/>
  <c r="G13" i="6"/>
  <c r="G21" i="6" s="1"/>
  <c r="L26" i="6"/>
  <c r="L35" i="6"/>
  <c r="L34" i="6"/>
  <c r="L33" i="6"/>
  <c r="L32" i="6"/>
  <c r="L31" i="6"/>
  <c r="L30" i="6"/>
  <c r="L29" i="6"/>
  <c r="L28" i="6"/>
  <c r="L27" i="6"/>
  <c r="I35" i="6"/>
  <c r="I34" i="6"/>
  <c r="I33" i="6"/>
  <c r="I32" i="6"/>
  <c r="I31" i="6"/>
  <c r="I30" i="6"/>
  <c r="I29" i="6"/>
  <c r="I28" i="6"/>
  <c r="F134" i="5"/>
  <c r="G134" i="5"/>
  <c r="H134" i="5"/>
  <c r="I134" i="5"/>
  <c r="J134" i="5"/>
  <c r="K134" i="5"/>
  <c r="L134" i="5" s="1"/>
  <c r="F135" i="5"/>
  <c r="G135" i="5"/>
  <c r="H135" i="5"/>
  <c r="I135" i="5"/>
  <c r="J135" i="5"/>
  <c r="K135" i="5"/>
  <c r="L135" i="5" s="1"/>
  <c r="F136" i="5"/>
  <c r="G136" i="5"/>
  <c r="H136" i="5"/>
  <c r="I136" i="5"/>
  <c r="J136" i="5"/>
  <c r="K136" i="5"/>
  <c r="L136" i="5" s="1"/>
  <c r="F137" i="5"/>
  <c r="G137" i="5"/>
  <c r="H137" i="5"/>
  <c r="I137" i="5"/>
  <c r="J137" i="5"/>
  <c r="K137" i="5"/>
  <c r="L137" i="5" s="1"/>
  <c r="F138" i="5"/>
  <c r="G138" i="5"/>
  <c r="H138" i="5"/>
  <c r="I138" i="5"/>
  <c r="J138" i="5"/>
  <c r="K138" i="5"/>
  <c r="L138" i="5" s="1"/>
  <c r="F139" i="5"/>
  <c r="G139" i="5"/>
  <c r="H139" i="5"/>
  <c r="I139" i="5"/>
  <c r="J139" i="5"/>
  <c r="K139" i="5"/>
  <c r="L139" i="5" s="1"/>
  <c r="F140" i="5"/>
  <c r="G140" i="5"/>
  <c r="H140" i="5"/>
  <c r="I140" i="5"/>
  <c r="J140" i="5"/>
  <c r="K140" i="5"/>
  <c r="L140" i="5" s="1"/>
  <c r="F141" i="5"/>
  <c r="G141" i="5"/>
  <c r="H141" i="5"/>
  <c r="I141" i="5"/>
  <c r="J141" i="5"/>
  <c r="K141" i="5"/>
  <c r="L141" i="5" s="1"/>
  <c r="F142" i="5"/>
  <c r="G142" i="5"/>
  <c r="H142" i="5"/>
  <c r="I142" i="5"/>
  <c r="J142" i="5"/>
  <c r="K142" i="5"/>
  <c r="L142" i="5" s="1"/>
  <c r="F143" i="5"/>
  <c r="G143" i="5"/>
  <c r="H143" i="5"/>
  <c r="I143" i="5"/>
  <c r="J143" i="5"/>
  <c r="K143" i="5"/>
  <c r="L143" i="5" s="1"/>
  <c r="F144" i="5"/>
  <c r="G144" i="5"/>
  <c r="H144" i="5"/>
  <c r="I144" i="5"/>
  <c r="J144" i="5"/>
  <c r="K144" i="5"/>
  <c r="L144" i="5" s="1"/>
  <c r="F145" i="5"/>
  <c r="G145" i="5"/>
  <c r="H145" i="5"/>
  <c r="I145" i="5"/>
  <c r="J145" i="5"/>
  <c r="K145" i="5"/>
  <c r="L145" i="5" s="1"/>
  <c r="F146" i="5"/>
  <c r="G146" i="5"/>
  <c r="H146" i="5"/>
  <c r="I146" i="5"/>
  <c r="J146" i="5"/>
  <c r="K146" i="5"/>
  <c r="L146" i="5" s="1"/>
  <c r="F147" i="5"/>
  <c r="G147" i="5"/>
  <c r="H147" i="5"/>
  <c r="I147" i="5"/>
  <c r="J147" i="5"/>
  <c r="K147" i="5"/>
  <c r="L147" i="5" s="1"/>
  <c r="F148" i="5"/>
  <c r="G148" i="5"/>
  <c r="H148" i="5"/>
  <c r="I148" i="5"/>
  <c r="J148" i="5"/>
  <c r="K148" i="5"/>
  <c r="L148" i="5" s="1"/>
  <c r="F149" i="5"/>
  <c r="G149" i="5"/>
  <c r="H149" i="5"/>
  <c r="I149" i="5"/>
  <c r="J149" i="5"/>
  <c r="K149" i="5"/>
  <c r="L149" i="5" s="1"/>
  <c r="F150" i="5"/>
  <c r="G150" i="5"/>
  <c r="H150" i="5"/>
  <c r="I150" i="5"/>
  <c r="J150" i="5"/>
  <c r="K150" i="5"/>
  <c r="L150" i="5" s="1"/>
  <c r="F151" i="5"/>
  <c r="G151" i="5"/>
  <c r="H151" i="5"/>
  <c r="I151" i="5"/>
  <c r="J151" i="5"/>
  <c r="K151" i="5"/>
  <c r="L151" i="5" s="1"/>
  <c r="L36" i="6" l="1"/>
  <c r="M140" i="5"/>
  <c r="M135" i="5"/>
  <c r="M146" i="5"/>
  <c r="M145" i="5"/>
  <c r="M144" i="5"/>
  <c r="M143" i="5"/>
  <c r="M142" i="5"/>
  <c r="M141" i="5"/>
  <c r="M139" i="5"/>
  <c r="M138" i="5"/>
  <c r="M137" i="5"/>
  <c r="M136" i="5"/>
  <c r="M147" i="5"/>
  <c r="M134" i="5"/>
  <c r="M149" i="5"/>
  <c r="M148" i="5"/>
  <c r="M151" i="5"/>
  <c r="M150" i="5"/>
  <c r="E12" i="5" l="1"/>
  <c r="D13" i="15"/>
  <c r="D12" i="15"/>
  <c r="D11" i="15"/>
  <c r="D10" i="15"/>
  <c r="D9" i="15"/>
  <c r="D8" i="15"/>
  <c r="D7" i="15"/>
  <c r="D6" i="15"/>
  <c r="D5" i="15"/>
  <c r="C54" i="6"/>
  <c r="G54" i="6" s="1"/>
  <c r="C53" i="6"/>
  <c r="G53" i="6" s="1"/>
  <c r="C57" i="6"/>
  <c r="C56" i="6"/>
  <c r="C55" i="6"/>
  <c r="N143" i="5" l="1"/>
  <c r="O143" i="5" s="1"/>
  <c r="P143" i="5" s="1"/>
  <c r="N141" i="5"/>
  <c r="O141" i="5" s="1"/>
  <c r="P141" i="5" s="1"/>
  <c r="N138" i="5"/>
  <c r="O138" i="5" s="1"/>
  <c r="P138" i="5" s="1"/>
  <c r="N145" i="5"/>
  <c r="O145" i="5" s="1"/>
  <c r="P145" i="5" s="1"/>
  <c r="N142" i="5"/>
  <c r="O142" i="5" s="1"/>
  <c r="P142" i="5" s="1"/>
  <c r="N144" i="5"/>
  <c r="O144" i="5" s="1"/>
  <c r="P144" i="5" s="1"/>
  <c r="N140" i="5"/>
  <c r="O140" i="5" s="1"/>
  <c r="P140" i="5" s="1"/>
  <c r="N139" i="5"/>
  <c r="O139" i="5" s="1"/>
  <c r="P139" i="5" s="1"/>
  <c r="N147" i="5"/>
  <c r="O147" i="5" s="1"/>
  <c r="P147" i="5" s="1"/>
  <c r="N134" i="5"/>
  <c r="O134" i="5" s="1"/>
  <c r="P134" i="5" s="1"/>
  <c r="N135" i="5"/>
  <c r="O135" i="5" s="1"/>
  <c r="P135" i="5" s="1"/>
  <c r="N136" i="5"/>
  <c r="O136" i="5" s="1"/>
  <c r="P136" i="5" s="1"/>
  <c r="N137" i="5"/>
  <c r="O137" i="5" s="1"/>
  <c r="P137" i="5" s="1"/>
  <c r="N146" i="5"/>
  <c r="O146" i="5" s="1"/>
  <c r="P146" i="5" s="1"/>
  <c r="N21" i="5"/>
  <c r="N149" i="5"/>
  <c r="O149" i="5" s="1"/>
  <c r="P149" i="5" s="1"/>
  <c r="N151" i="5"/>
  <c r="O151" i="5" s="1"/>
  <c r="P151" i="5" s="1"/>
  <c r="N148" i="5"/>
  <c r="O148" i="5" s="1"/>
  <c r="P148" i="5" s="1"/>
  <c r="N150" i="5"/>
  <c r="O150" i="5" s="1"/>
  <c r="P150" i="5" s="1"/>
  <c r="N87" i="5"/>
  <c r="N110" i="5"/>
  <c r="N32" i="5"/>
  <c r="N130" i="5"/>
  <c r="N72" i="5"/>
  <c r="N158" i="5"/>
  <c r="N106" i="5"/>
  <c r="N68" i="5"/>
  <c r="N48" i="5"/>
  <c r="N27" i="5"/>
  <c r="N161" i="5"/>
  <c r="N90" i="5"/>
  <c r="N75" i="5"/>
  <c r="N109" i="5"/>
  <c r="N28" i="5"/>
  <c r="N86" i="5"/>
  <c r="N154" i="5"/>
  <c r="N125" i="5"/>
  <c r="N102" i="5"/>
  <c r="N67" i="5"/>
  <c r="N44" i="5"/>
  <c r="N24" i="5"/>
  <c r="N133" i="5"/>
  <c r="N52" i="5"/>
  <c r="N160" i="5"/>
  <c r="N51" i="5"/>
  <c r="N126" i="5"/>
  <c r="N153" i="5"/>
  <c r="N122" i="5"/>
  <c r="N101" i="5"/>
  <c r="N84" i="5"/>
  <c r="N64" i="5"/>
  <c r="N43" i="5"/>
  <c r="N20" i="5"/>
  <c r="N98" i="5"/>
  <c r="N40" i="5"/>
  <c r="N19" i="5"/>
  <c r="N152" i="5"/>
  <c r="N118" i="5"/>
  <c r="N83" i="5"/>
  <c r="N60" i="5"/>
  <c r="N117" i="5"/>
  <c r="N94" i="5"/>
  <c r="N80" i="5"/>
  <c r="N59" i="5"/>
  <c r="N36" i="5"/>
  <c r="N162" i="5"/>
  <c r="N114" i="5"/>
  <c r="N93" i="5"/>
  <c r="N76" i="5"/>
  <c r="N56" i="5"/>
  <c r="N35" i="5"/>
  <c r="N132" i="5"/>
  <c r="N124" i="5"/>
  <c r="N116" i="5"/>
  <c r="N108" i="5"/>
  <c r="N100" i="5"/>
  <c r="N92" i="5"/>
  <c r="N85" i="5"/>
  <c r="N82" i="5"/>
  <c r="N74" i="5"/>
  <c r="N66" i="5"/>
  <c r="N58" i="5"/>
  <c r="N50" i="5"/>
  <c r="N42" i="5"/>
  <c r="N34" i="5"/>
  <c r="N26" i="5"/>
  <c r="N159" i="5"/>
  <c r="N131" i="5"/>
  <c r="N123" i="5"/>
  <c r="N115" i="5"/>
  <c r="N107" i="5"/>
  <c r="N99" i="5"/>
  <c r="N91" i="5"/>
  <c r="N81" i="5"/>
  <c r="N73" i="5"/>
  <c r="N65" i="5"/>
  <c r="N57" i="5"/>
  <c r="N49" i="5"/>
  <c r="N41" i="5"/>
  <c r="N33" i="5"/>
  <c r="N25" i="5"/>
  <c r="N157" i="5"/>
  <c r="N129" i="5"/>
  <c r="N105" i="5"/>
  <c r="N71" i="5"/>
  <c r="N31" i="5"/>
  <c r="N164" i="5"/>
  <c r="N156" i="5"/>
  <c r="N128" i="5"/>
  <c r="N120" i="5"/>
  <c r="N112" i="5"/>
  <c r="N104" i="5"/>
  <c r="N96" i="5"/>
  <c r="N88" i="5"/>
  <c r="N78" i="5"/>
  <c r="N70" i="5"/>
  <c r="N62" i="5"/>
  <c r="N54" i="5"/>
  <c r="N46" i="5"/>
  <c r="N38" i="5"/>
  <c r="N30" i="5"/>
  <c r="N22" i="5"/>
  <c r="N18" i="5"/>
  <c r="N121" i="5"/>
  <c r="N113" i="5"/>
  <c r="N97" i="5"/>
  <c r="N89" i="5"/>
  <c r="N79" i="5"/>
  <c r="N63" i="5"/>
  <c r="N55" i="5"/>
  <c r="N47" i="5"/>
  <c r="N39" i="5"/>
  <c r="N23" i="5"/>
  <c r="N163" i="5"/>
  <c r="N155" i="5"/>
  <c r="N127" i="5"/>
  <c r="N119" i="5"/>
  <c r="N111" i="5"/>
  <c r="N103" i="5"/>
  <c r="N95" i="5"/>
  <c r="N77" i="5"/>
  <c r="N69" i="5"/>
  <c r="N61" i="5"/>
  <c r="N53" i="5"/>
  <c r="N45" i="5"/>
  <c r="N37" i="5"/>
  <c r="N29" i="5"/>
  <c r="G55" i="6"/>
  <c r="G57" i="6"/>
  <c r="G56" i="6"/>
  <c r="I56" i="6" s="1"/>
  <c r="I54" i="6"/>
  <c r="Q139" i="5" l="1"/>
  <c r="S139" i="5"/>
  <c r="R139" i="5" s="1"/>
  <c r="S140" i="5"/>
  <c r="R140" i="5" s="1"/>
  <c r="Q140" i="5"/>
  <c r="Q146" i="5"/>
  <c r="S146" i="5"/>
  <c r="R146" i="5" s="1"/>
  <c r="S144" i="5"/>
  <c r="R144" i="5" s="1"/>
  <c r="Q144" i="5"/>
  <c r="S137" i="5"/>
  <c r="R137" i="5" s="1"/>
  <c r="Q137" i="5"/>
  <c r="S142" i="5"/>
  <c r="R142" i="5" s="1"/>
  <c r="Q142" i="5"/>
  <c r="Q136" i="5"/>
  <c r="S136" i="5"/>
  <c r="R136" i="5" s="1"/>
  <c r="S145" i="5"/>
  <c r="R145" i="5" s="1"/>
  <c r="Q145" i="5"/>
  <c r="S135" i="5"/>
  <c r="R135" i="5" s="1"/>
  <c r="Q135" i="5"/>
  <c r="S138" i="5"/>
  <c r="R138" i="5" s="1"/>
  <c r="Q138" i="5"/>
  <c r="Q134" i="5"/>
  <c r="S134" i="5"/>
  <c r="R134" i="5" s="1"/>
  <c r="S141" i="5"/>
  <c r="R141" i="5" s="1"/>
  <c r="Q141" i="5"/>
  <c r="S147" i="5"/>
  <c r="R147" i="5" s="1"/>
  <c r="Q147" i="5"/>
  <c r="Q143" i="5"/>
  <c r="S143" i="5"/>
  <c r="R143" i="5" s="1"/>
  <c r="S150" i="5"/>
  <c r="Q150" i="5"/>
  <c r="Q148" i="5"/>
  <c r="S148" i="5"/>
  <c r="S151" i="5"/>
  <c r="Q151" i="5"/>
  <c r="Q149" i="5"/>
  <c r="S149" i="5"/>
  <c r="I57" i="6"/>
  <c r="I55" i="6"/>
  <c r="I53" i="6"/>
  <c r="I47" i="6"/>
  <c r="I46" i="6"/>
  <c r="I45" i="6"/>
  <c r="I44" i="6"/>
  <c r="I43" i="6"/>
  <c r="A2" i="5"/>
  <c r="A4" i="6"/>
  <c r="R148" i="5" l="1"/>
  <c r="R151" i="5"/>
  <c r="R149" i="5"/>
  <c r="R150" i="5"/>
  <c r="I58" i="6"/>
  <c r="G20" i="6"/>
  <c r="G19" i="6"/>
  <c r="G18" i="6"/>
  <c r="G17" i="6"/>
  <c r="G16" i="6"/>
  <c r="G15" i="6"/>
  <c r="G14" i="6"/>
  <c r="A4" i="11" l="1"/>
  <c r="A4" i="10"/>
  <c r="J36" i="6" l="1"/>
  <c r="I42" i="6"/>
  <c r="I41" i="6"/>
  <c r="T16" i="5"/>
  <c r="G164" i="5"/>
  <c r="G163" i="5"/>
  <c r="G162" i="5"/>
  <c r="G161" i="5"/>
  <c r="G160" i="5"/>
  <c r="G159" i="5"/>
  <c r="G158" i="5"/>
  <c r="G157" i="5"/>
  <c r="G156" i="5"/>
  <c r="G155" i="5"/>
  <c r="G154" i="5"/>
  <c r="G153" i="5"/>
  <c r="G152"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K164" i="5"/>
  <c r="L164" i="5" s="1"/>
  <c r="J164" i="5"/>
  <c r="I164" i="5"/>
  <c r="H164" i="5"/>
  <c r="F164" i="5"/>
  <c r="K163" i="5"/>
  <c r="L163" i="5" s="1"/>
  <c r="J163" i="5"/>
  <c r="I163" i="5"/>
  <c r="H163" i="5"/>
  <c r="F163" i="5"/>
  <c r="K162" i="5"/>
  <c r="L162" i="5" s="1"/>
  <c r="J162" i="5"/>
  <c r="I162" i="5"/>
  <c r="H162" i="5"/>
  <c r="F162" i="5"/>
  <c r="K161" i="5"/>
  <c r="L161" i="5" s="1"/>
  <c r="J161" i="5"/>
  <c r="I161" i="5"/>
  <c r="H161" i="5"/>
  <c r="F161" i="5"/>
  <c r="K160" i="5"/>
  <c r="L160" i="5" s="1"/>
  <c r="J160" i="5"/>
  <c r="I160" i="5"/>
  <c r="H160" i="5"/>
  <c r="F160" i="5"/>
  <c r="K159" i="5"/>
  <c r="L159" i="5" s="1"/>
  <c r="J159" i="5"/>
  <c r="I159" i="5"/>
  <c r="H159" i="5"/>
  <c r="F159" i="5"/>
  <c r="K158" i="5"/>
  <c r="L158" i="5" s="1"/>
  <c r="J158" i="5"/>
  <c r="I158" i="5"/>
  <c r="H158" i="5"/>
  <c r="F158" i="5"/>
  <c r="K157" i="5"/>
  <c r="L157" i="5" s="1"/>
  <c r="J157" i="5"/>
  <c r="I157" i="5"/>
  <c r="H157" i="5"/>
  <c r="F157" i="5"/>
  <c r="K156" i="5"/>
  <c r="L156" i="5" s="1"/>
  <c r="J156" i="5"/>
  <c r="I156" i="5"/>
  <c r="H156" i="5"/>
  <c r="F156" i="5"/>
  <c r="K155" i="5"/>
  <c r="L155" i="5" s="1"/>
  <c r="J155" i="5"/>
  <c r="I155" i="5"/>
  <c r="H155" i="5"/>
  <c r="F155" i="5"/>
  <c r="K154" i="5"/>
  <c r="L154" i="5" s="1"/>
  <c r="J154" i="5"/>
  <c r="I154" i="5"/>
  <c r="H154" i="5"/>
  <c r="F154" i="5"/>
  <c r="K153" i="5"/>
  <c r="L153" i="5" s="1"/>
  <c r="J153" i="5"/>
  <c r="I153" i="5"/>
  <c r="H153" i="5"/>
  <c r="F153" i="5"/>
  <c r="K152" i="5"/>
  <c r="L152" i="5" s="1"/>
  <c r="J152" i="5"/>
  <c r="I152" i="5"/>
  <c r="H152" i="5"/>
  <c r="F152" i="5"/>
  <c r="K133" i="5"/>
  <c r="L133" i="5" s="1"/>
  <c r="J133" i="5"/>
  <c r="I133" i="5"/>
  <c r="H133" i="5"/>
  <c r="F133" i="5"/>
  <c r="K132" i="5"/>
  <c r="L132" i="5" s="1"/>
  <c r="J132" i="5"/>
  <c r="I132" i="5"/>
  <c r="H132" i="5"/>
  <c r="F132" i="5"/>
  <c r="K131" i="5"/>
  <c r="L131" i="5" s="1"/>
  <c r="J131" i="5"/>
  <c r="I131" i="5"/>
  <c r="H131" i="5"/>
  <c r="F131" i="5"/>
  <c r="K130" i="5"/>
  <c r="L130" i="5" s="1"/>
  <c r="J130" i="5"/>
  <c r="I130" i="5"/>
  <c r="H130" i="5"/>
  <c r="F130" i="5"/>
  <c r="K129" i="5"/>
  <c r="L129" i="5" s="1"/>
  <c r="J129" i="5"/>
  <c r="I129" i="5"/>
  <c r="H129" i="5"/>
  <c r="F129" i="5"/>
  <c r="K128" i="5"/>
  <c r="L128" i="5" s="1"/>
  <c r="J128" i="5"/>
  <c r="I128" i="5"/>
  <c r="H128" i="5"/>
  <c r="F128" i="5"/>
  <c r="K127" i="5"/>
  <c r="L127" i="5" s="1"/>
  <c r="J127" i="5"/>
  <c r="I127" i="5"/>
  <c r="H127" i="5"/>
  <c r="F127" i="5"/>
  <c r="K126" i="5"/>
  <c r="L126" i="5" s="1"/>
  <c r="J126" i="5"/>
  <c r="I126" i="5"/>
  <c r="H126" i="5"/>
  <c r="F126" i="5"/>
  <c r="K125" i="5"/>
  <c r="L125" i="5" s="1"/>
  <c r="J125" i="5"/>
  <c r="I125" i="5"/>
  <c r="H125" i="5"/>
  <c r="F125" i="5"/>
  <c r="K124" i="5"/>
  <c r="L124" i="5" s="1"/>
  <c r="J124" i="5"/>
  <c r="I124" i="5"/>
  <c r="H124" i="5"/>
  <c r="F124" i="5"/>
  <c r="K123" i="5"/>
  <c r="L123" i="5" s="1"/>
  <c r="J123" i="5"/>
  <c r="I123" i="5"/>
  <c r="H123" i="5"/>
  <c r="F123" i="5"/>
  <c r="K122" i="5"/>
  <c r="L122" i="5" s="1"/>
  <c r="J122" i="5"/>
  <c r="I122" i="5"/>
  <c r="H122" i="5"/>
  <c r="F122" i="5"/>
  <c r="K121" i="5"/>
  <c r="L121" i="5" s="1"/>
  <c r="J121" i="5"/>
  <c r="I121" i="5"/>
  <c r="H121" i="5"/>
  <c r="F121" i="5"/>
  <c r="K120" i="5"/>
  <c r="L120" i="5" s="1"/>
  <c r="J120" i="5"/>
  <c r="I120" i="5"/>
  <c r="H120" i="5"/>
  <c r="F120" i="5"/>
  <c r="K119" i="5"/>
  <c r="L119" i="5" s="1"/>
  <c r="J119" i="5"/>
  <c r="I119" i="5"/>
  <c r="H119" i="5"/>
  <c r="F119" i="5"/>
  <c r="K118" i="5"/>
  <c r="L118" i="5" s="1"/>
  <c r="J118" i="5"/>
  <c r="I118" i="5"/>
  <c r="H118" i="5"/>
  <c r="F118" i="5"/>
  <c r="K117" i="5"/>
  <c r="L117" i="5" s="1"/>
  <c r="J117" i="5"/>
  <c r="I117" i="5"/>
  <c r="H117" i="5"/>
  <c r="F117" i="5"/>
  <c r="K116" i="5"/>
  <c r="L116" i="5" s="1"/>
  <c r="J116" i="5"/>
  <c r="I116" i="5"/>
  <c r="H116" i="5"/>
  <c r="F116" i="5"/>
  <c r="K115" i="5"/>
  <c r="L115" i="5" s="1"/>
  <c r="J115" i="5"/>
  <c r="I115" i="5"/>
  <c r="H115" i="5"/>
  <c r="F115" i="5"/>
  <c r="K114" i="5"/>
  <c r="L114" i="5" s="1"/>
  <c r="J114" i="5"/>
  <c r="I114" i="5"/>
  <c r="H114" i="5"/>
  <c r="F114" i="5"/>
  <c r="K113" i="5"/>
  <c r="L113" i="5" s="1"/>
  <c r="J113" i="5"/>
  <c r="I113" i="5"/>
  <c r="H113" i="5"/>
  <c r="F113" i="5"/>
  <c r="K112" i="5"/>
  <c r="L112" i="5" s="1"/>
  <c r="J112" i="5"/>
  <c r="I112" i="5"/>
  <c r="H112" i="5"/>
  <c r="F112" i="5"/>
  <c r="K111" i="5"/>
  <c r="L111" i="5" s="1"/>
  <c r="J111" i="5"/>
  <c r="I111" i="5"/>
  <c r="H111" i="5"/>
  <c r="F111" i="5"/>
  <c r="K110" i="5"/>
  <c r="L110" i="5" s="1"/>
  <c r="J110" i="5"/>
  <c r="I110" i="5"/>
  <c r="H110" i="5"/>
  <c r="F110" i="5"/>
  <c r="K109" i="5"/>
  <c r="L109" i="5" s="1"/>
  <c r="J109" i="5"/>
  <c r="I109" i="5"/>
  <c r="H109" i="5"/>
  <c r="F109" i="5"/>
  <c r="K108" i="5"/>
  <c r="L108" i="5" s="1"/>
  <c r="J108" i="5"/>
  <c r="I108" i="5"/>
  <c r="H108" i="5"/>
  <c r="F108" i="5"/>
  <c r="K107" i="5"/>
  <c r="L107" i="5" s="1"/>
  <c r="J107" i="5"/>
  <c r="I107" i="5"/>
  <c r="H107" i="5"/>
  <c r="F107" i="5"/>
  <c r="K106" i="5"/>
  <c r="L106" i="5" s="1"/>
  <c r="J106" i="5"/>
  <c r="I106" i="5"/>
  <c r="H106" i="5"/>
  <c r="F106" i="5"/>
  <c r="K105" i="5"/>
  <c r="L105" i="5" s="1"/>
  <c r="J105" i="5"/>
  <c r="I105" i="5"/>
  <c r="H105" i="5"/>
  <c r="F105" i="5"/>
  <c r="K104" i="5"/>
  <c r="L104" i="5" s="1"/>
  <c r="J104" i="5"/>
  <c r="I104" i="5"/>
  <c r="H104" i="5"/>
  <c r="F104" i="5"/>
  <c r="K103" i="5"/>
  <c r="L103" i="5" s="1"/>
  <c r="J103" i="5"/>
  <c r="I103" i="5"/>
  <c r="H103" i="5"/>
  <c r="F103" i="5"/>
  <c r="K102" i="5"/>
  <c r="L102" i="5" s="1"/>
  <c r="J102" i="5"/>
  <c r="I102" i="5"/>
  <c r="H102" i="5"/>
  <c r="F102" i="5"/>
  <c r="K101" i="5"/>
  <c r="L101" i="5" s="1"/>
  <c r="J101" i="5"/>
  <c r="I101" i="5"/>
  <c r="H101" i="5"/>
  <c r="F101" i="5"/>
  <c r="K100" i="5"/>
  <c r="L100" i="5" s="1"/>
  <c r="J100" i="5"/>
  <c r="I100" i="5"/>
  <c r="H100" i="5"/>
  <c r="F100" i="5"/>
  <c r="K99" i="5"/>
  <c r="L99" i="5" s="1"/>
  <c r="J99" i="5"/>
  <c r="I99" i="5"/>
  <c r="H99" i="5"/>
  <c r="F99" i="5"/>
  <c r="K98" i="5"/>
  <c r="L98" i="5" s="1"/>
  <c r="J98" i="5"/>
  <c r="I98" i="5"/>
  <c r="H98" i="5"/>
  <c r="F98" i="5"/>
  <c r="K97" i="5"/>
  <c r="L97" i="5" s="1"/>
  <c r="J97" i="5"/>
  <c r="I97" i="5"/>
  <c r="H97" i="5"/>
  <c r="F97" i="5"/>
  <c r="K96" i="5"/>
  <c r="L96" i="5" s="1"/>
  <c r="J96" i="5"/>
  <c r="I96" i="5"/>
  <c r="H96" i="5"/>
  <c r="F96" i="5"/>
  <c r="K95" i="5"/>
  <c r="L95" i="5" s="1"/>
  <c r="J95" i="5"/>
  <c r="I95" i="5"/>
  <c r="H95" i="5"/>
  <c r="F95" i="5"/>
  <c r="K94" i="5"/>
  <c r="L94" i="5" s="1"/>
  <c r="J94" i="5"/>
  <c r="I94" i="5"/>
  <c r="H94" i="5"/>
  <c r="F94" i="5"/>
  <c r="K93" i="5"/>
  <c r="L93" i="5" s="1"/>
  <c r="J93" i="5"/>
  <c r="I93" i="5"/>
  <c r="H93" i="5"/>
  <c r="F93" i="5"/>
  <c r="K92" i="5"/>
  <c r="L92" i="5" s="1"/>
  <c r="J92" i="5"/>
  <c r="I92" i="5"/>
  <c r="H92" i="5"/>
  <c r="F92" i="5"/>
  <c r="K91" i="5"/>
  <c r="L91" i="5" s="1"/>
  <c r="J91" i="5"/>
  <c r="I91" i="5"/>
  <c r="H91" i="5"/>
  <c r="F91" i="5"/>
  <c r="K90" i="5"/>
  <c r="L90" i="5" s="1"/>
  <c r="J90" i="5"/>
  <c r="I90" i="5"/>
  <c r="H90" i="5"/>
  <c r="F90" i="5"/>
  <c r="K89" i="5"/>
  <c r="L89" i="5" s="1"/>
  <c r="J89" i="5"/>
  <c r="I89" i="5"/>
  <c r="H89" i="5"/>
  <c r="F89" i="5"/>
  <c r="K88" i="5"/>
  <c r="L88" i="5" s="1"/>
  <c r="J88" i="5"/>
  <c r="I88" i="5"/>
  <c r="H88" i="5"/>
  <c r="F88" i="5"/>
  <c r="K87" i="5"/>
  <c r="L87" i="5" s="1"/>
  <c r="J87" i="5"/>
  <c r="I87" i="5"/>
  <c r="H87" i="5"/>
  <c r="F87" i="5"/>
  <c r="K86" i="5"/>
  <c r="L86" i="5" s="1"/>
  <c r="J86" i="5"/>
  <c r="I86" i="5"/>
  <c r="H86" i="5"/>
  <c r="F86" i="5"/>
  <c r="K85" i="5"/>
  <c r="L85" i="5" s="1"/>
  <c r="J85" i="5"/>
  <c r="I85" i="5"/>
  <c r="H85" i="5"/>
  <c r="F85" i="5"/>
  <c r="K84" i="5"/>
  <c r="L84" i="5" s="1"/>
  <c r="J84" i="5"/>
  <c r="I84" i="5"/>
  <c r="H84" i="5"/>
  <c r="F84" i="5"/>
  <c r="K83" i="5"/>
  <c r="L83" i="5" s="1"/>
  <c r="J83" i="5"/>
  <c r="I83" i="5"/>
  <c r="H83" i="5"/>
  <c r="F83" i="5"/>
  <c r="K82" i="5"/>
  <c r="L82" i="5" s="1"/>
  <c r="J82" i="5"/>
  <c r="I82" i="5"/>
  <c r="H82" i="5"/>
  <c r="F82" i="5"/>
  <c r="K81" i="5"/>
  <c r="L81" i="5" s="1"/>
  <c r="J81" i="5"/>
  <c r="I81" i="5"/>
  <c r="H81" i="5"/>
  <c r="F81" i="5"/>
  <c r="K80" i="5"/>
  <c r="L80" i="5" s="1"/>
  <c r="J80" i="5"/>
  <c r="I80" i="5"/>
  <c r="H80" i="5"/>
  <c r="F80" i="5"/>
  <c r="K79" i="5"/>
  <c r="L79" i="5" s="1"/>
  <c r="J79" i="5"/>
  <c r="I79" i="5"/>
  <c r="H79" i="5"/>
  <c r="F79" i="5"/>
  <c r="K78" i="5"/>
  <c r="L78" i="5" s="1"/>
  <c r="J78" i="5"/>
  <c r="I78" i="5"/>
  <c r="H78" i="5"/>
  <c r="F78" i="5"/>
  <c r="K77" i="5"/>
  <c r="L77" i="5" s="1"/>
  <c r="J77" i="5"/>
  <c r="I77" i="5"/>
  <c r="H77" i="5"/>
  <c r="F77" i="5"/>
  <c r="K76" i="5"/>
  <c r="L76" i="5" s="1"/>
  <c r="J76" i="5"/>
  <c r="I76" i="5"/>
  <c r="H76" i="5"/>
  <c r="F76" i="5"/>
  <c r="K75" i="5"/>
  <c r="L75" i="5" s="1"/>
  <c r="J75" i="5"/>
  <c r="I75" i="5"/>
  <c r="H75" i="5"/>
  <c r="F75" i="5"/>
  <c r="K74" i="5"/>
  <c r="L74" i="5" s="1"/>
  <c r="J74" i="5"/>
  <c r="I74" i="5"/>
  <c r="H74" i="5"/>
  <c r="F74" i="5"/>
  <c r="K73" i="5"/>
  <c r="L73" i="5" s="1"/>
  <c r="J73" i="5"/>
  <c r="I73" i="5"/>
  <c r="H73" i="5"/>
  <c r="F73" i="5"/>
  <c r="K72" i="5"/>
  <c r="L72" i="5" s="1"/>
  <c r="J72" i="5"/>
  <c r="I72" i="5"/>
  <c r="H72" i="5"/>
  <c r="F72" i="5"/>
  <c r="K71" i="5"/>
  <c r="L71" i="5" s="1"/>
  <c r="J71" i="5"/>
  <c r="I71" i="5"/>
  <c r="H71" i="5"/>
  <c r="F71" i="5"/>
  <c r="K70" i="5"/>
  <c r="L70" i="5" s="1"/>
  <c r="J70" i="5"/>
  <c r="I70" i="5"/>
  <c r="H70" i="5"/>
  <c r="F70" i="5"/>
  <c r="K69" i="5"/>
  <c r="L69" i="5" s="1"/>
  <c r="J69" i="5"/>
  <c r="I69" i="5"/>
  <c r="H69" i="5"/>
  <c r="F69" i="5"/>
  <c r="K68" i="5"/>
  <c r="L68" i="5" s="1"/>
  <c r="J68" i="5"/>
  <c r="I68" i="5"/>
  <c r="H68" i="5"/>
  <c r="F68" i="5"/>
  <c r="K67" i="5"/>
  <c r="L67" i="5" s="1"/>
  <c r="J67" i="5"/>
  <c r="I67" i="5"/>
  <c r="H67" i="5"/>
  <c r="F67" i="5"/>
  <c r="K66" i="5"/>
  <c r="L66" i="5" s="1"/>
  <c r="J66" i="5"/>
  <c r="I66" i="5"/>
  <c r="H66" i="5"/>
  <c r="F66" i="5"/>
  <c r="K65" i="5"/>
  <c r="L65" i="5" s="1"/>
  <c r="J65" i="5"/>
  <c r="I65" i="5"/>
  <c r="H65" i="5"/>
  <c r="F65" i="5"/>
  <c r="K64" i="5"/>
  <c r="L64" i="5" s="1"/>
  <c r="J64" i="5"/>
  <c r="I64" i="5"/>
  <c r="H64" i="5"/>
  <c r="F64" i="5"/>
  <c r="K63" i="5"/>
  <c r="L63" i="5" s="1"/>
  <c r="J63" i="5"/>
  <c r="I63" i="5"/>
  <c r="H63" i="5"/>
  <c r="F63" i="5"/>
  <c r="K62" i="5"/>
  <c r="L62" i="5" s="1"/>
  <c r="J62" i="5"/>
  <c r="I62" i="5"/>
  <c r="H62" i="5"/>
  <c r="F62" i="5"/>
  <c r="K61" i="5"/>
  <c r="L61" i="5" s="1"/>
  <c r="J61" i="5"/>
  <c r="I61" i="5"/>
  <c r="H61" i="5"/>
  <c r="F61" i="5"/>
  <c r="K60" i="5"/>
  <c r="L60" i="5" s="1"/>
  <c r="J60" i="5"/>
  <c r="I60" i="5"/>
  <c r="H60" i="5"/>
  <c r="F60" i="5"/>
  <c r="K59" i="5"/>
  <c r="L59" i="5" s="1"/>
  <c r="J59" i="5"/>
  <c r="I59" i="5"/>
  <c r="H59" i="5"/>
  <c r="F59" i="5"/>
  <c r="K58" i="5"/>
  <c r="L58" i="5" s="1"/>
  <c r="J58" i="5"/>
  <c r="I58" i="5"/>
  <c r="H58" i="5"/>
  <c r="F58" i="5"/>
  <c r="K57" i="5"/>
  <c r="L57" i="5" s="1"/>
  <c r="J57" i="5"/>
  <c r="I57" i="5"/>
  <c r="H57" i="5"/>
  <c r="F57" i="5"/>
  <c r="K56" i="5"/>
  <c r="L56" i="5" s="1"/>
  <c r="J56" i="5"/>
  <c r="I56" i="5"/>
  <c r="H56" i="5"/>
  <c r="F56" i="5"/>
  <c r="K55" i="5"/>
  <c r="L55" i="5" s="1"/>
  <c r="J55" i="5"/>
  <c r="I55" i="5"/>
  <c r="H55" i="5"/>
  <c r="F55" i="5"/>
  <c r="K54" i="5"/>
  <c r="L54" i="5" s="1"/>
  <c r="J54" i="5"/>
  <c r="I54" i="5"/>
  <c r="H54" i="5"/>
  <c r="F54" i="5"/>
  <c r="K53" i="5"/>
  <c r="L53" i="5" s="1"/>
  <c r="J53" i="5"/>
  <c r="I53" i="5"/>
  <c r="H53" i="5"/>
  <c r="F53" i="5"/>
  <c r="K52" i="5"/>
  <c r="L52" i="5" s="1"/>
  <c r="J52" i="5"/>
  <c r="I52" i="5"/>
  <c r="H52" i="5"/>
  <c r="F52" i="5"/>
  <c r="K51" i="5"/>
  <c r="L51" i="5" s="1"/>
  <c r="J51" i="5"/>
  <c r="I51" i="5"/>
  <c r="H51" i="5"/>
  <c r="F51" i="5"/>
  <c r="K50" i="5"/>
  <c r="L50" i="5" s="1"/>
  <c r="J50" i="5"/>
  <c r="I50" i="5"/>
  <c r="H50" i="5"/>
  <c r="F50" i="5"/>
  <c r="K49" i="5"/>
  <c r="L49" i="5" s="1"/>
  <c r="J49" i="5"/>
  <c r="I49" i="5"/>
  <c r="H49" i="5"/>
  <c r="F49" i="5"/>
  <c r="K48" i="5"/>
  <c r="L48" i="5" s="1"/>
  <c r="J48" i="5"/>
  <c r="I48" i="5"/>
  <c r="H48" i="5"/>
  <c r="F48" i="5"/>
  <c r="K47" i="5"/>
  <c r="L47" i="5" s="1"/>
  <c r="J47" i="5"/>
  <c r="I47" i="5"/>
  <c r="H47" i="5"/>
  <c r="F47" i="5"/>
  <c r="K46" i="5"/>
  <c r="L46" i="5" s="1"/>
  <c r="J46" i="5"/>
  <c r="I46" i="5"/>
  <c r="H46" i="5"/>
  <c r="F46" i="5"/>
  <c r="K45" i="5"/>
  <c r="L45" i="5" s="1"/>
  <c r="J45" i="5"/>
  <c r="I45" i="5"/>
  <c r="H45" i="5"/>
  <c r="F45" i="5"/>
  <c r="K44" i="5"/>
  <c r="L44" i="5" s="1"/>
  <c r="J44" i="5"/>
  <c r="I44" i="5"/>
  <c r="H44" i="5"/>
  <c r="F44" i="5"/>
  <c r="K43" i="5"/>
  <c r="L43" i="5" s="1"/>
  <c r="J43" i="5"/>
  <c r="I43" i="5"/>
  <c r="H43" i="5"/>
  <c r="F43" i="5"/>
  <c r="K42" i="5"/>
  <c r="L42" i="5" s="1"/>
  <c r="J42" i="5"/>
  <c r="I42" i="5"/>
  <c r="H42" i="5"/>
  <c r="F42" i="5"/>
  <c r="K41" i="5"/>
  <c r="L41" i="5" s="1"/>
  <c r="J41" i="5"/>
  <c r="I41" i="5"/>
  <c r="H41" i="5"/>
  <c r="F41" i="5"/>
  <c r="K40" i="5"/>
  <c r="L40" i="5" s="1"/>
  <c r="J40" i="5"/>
  <c r="I40" i="5"/>
  <c r="H40" i="5"/>
  <c r="F40" i="5"/>
  <c r="K39" i="5"/>
  <c r="L39" i="5" s="1"/>
  <c r="J39" i="5"/>
  <c r="I39" i="5"/>
  <c r="H39" i="5"/>
  <c r="F39" i="5"/>
  <c r="K38" i="5"/>
  <c r="L38" i="5" s="1"/>
  <c r="J38" i="5"/>
  <c r="I38" i="5"/>
  <c r="H38" i="5"/>
  <c r="F38" i="5"/>
  <c r="K37" i="5"/>
  <c r="L37" i="5" s="1"/>
  <c r="J37" i="5"/>
  <c r="I37" i="5"/>
  <c r="H37" i="5"/>
  <c r="F37" i="5"/>
  <c r="K36" i="5"/>
  <c r="L36" i="5" s="1"/>
  <c r="J36" i="5"/>
  <c r="I36" i="5"/>
  <c r="H36" i="5"/>
  <c r="F36" i="5"/>
  <c r="K35" i="5"/>
  <c r="L35" i="5" s="1"/>
  <c r="J35" i="5"/>
  <c r="I35" i="5"/>
  <c r="H35" i="5"/>
  <c r="F35" i="5"/>
  <c r="K34" i="5"/>
  <c r="L34" i="5" s="1"/>
  <c r="J34" i="5"/>
  <c r="I34" i="5"/>
  <c r="H34" i="5"/>
  <c r="F34" i="5"/>
  <c r="K33" i="5"/>
  <c r="L33" i="5" s="1"/>
  <c r="J33" i="5"/>
  <c r="I33" i="5"/>
  <c r="H33" i="5"/>
  <c r="F33" i="5"/>
  <c r="K32" i="5"/>
  <c r="L32" i="5" s="1"/>
  <c r="J32" i="5"/>
  <c r="I32" i="5"/>
  <c r="H32" i="5"/>
  <c r="F32" i="5"/>
  <c r="K31" i="5"/>
  <c r="L31" i="5" s="1"/>
  <c r="J31" i="5"/>
  <c r="I31" i="5"/>
  <c r="H31" i="5"/>
  <c r="F31" i="5"/>
  <c r="K30" i="5"/>
  <c r="L30" i="5" s="1"/>
  <c r="J30" i="5"/>
  <c r="I30" i="5"/>
  <c r="H30" i="5"/>
  <c r="F30" i="5"/>
  <c r="K29" i="5"/>
  <c r="L29" i="5" s="1"/>
  <c r="J29" i="5"/>
  <c r="I29" i="5"/>
  <c r="H29" i="5"/>
  <c r="F29" i="5"/>
  <c r="K28" i="5"/>
  <c r="L28" i="5" s="1"/>
  <c r="J28" i="5"/>
  <c r="I28" i="5"/>
  <c r="H28" i="5"/>
  <c r="F28" i="5"/>
  <c r="K27" i="5"/>
  <c r="L27" i="5" s="1"/>
  <c r="J27" i="5"/>
  <c r="I27" i="5"/>
  <c r="H27" i="5"/>
  <c r="F27" i="5"/>
  <c r="K26" i="5"/>
  <c r="L26" i="5" s="1"/>
  <c r="J26" i="5"/>
  <c r="I26" i="5"/>
  <c r="H26" i="5"/>
  <c r="F26" i="5"/>
  <c r="K25" i="5"/>
  <c r="L25" i="5" s="1"/>
  <c r="J25" i="5"/>
  <c r="I25" i="5"/>
  <c r="H25" i="5"/>
  <c r="F25" i="5"/>
  <c r="K24" i="5"/>
  <c r="L24" i="5" s="1"/>
  <c r="J24" i="5"/>
  <c r="I24" i="5"/>
  <c r="H24" i="5"/>
  <c r="F24" i="5"/>
  <c r="K23" i="5"/>
  <c r="L23" i="5" s="1"/>
  <c r="J23" i="5"/>
  <c r="I23" i="5"/>
  <c r="H23" i="5"/>
  <c r="F23" i="5"/>
  <c r="K22" i="5"/>
  <c r="L22" i="5" s="1"/>
  <c r="J22" i="5"/>
  <c r="I22" i="5"/>
  <c r="H22" i="5"/>
  <c r="F22" i="5"/>
  <c r="K21" i="5"/>
  <c r="L21" i="5" s="1"/>
  <c r="J21" i="5"/>
  <c r="I21" i="5"/>
  <c r="H21" i="5"/>
  <c r="F21" i="5"/>
  <c r="K20" i="5"/>
  <c r="L20" i="5" s="1"/>
  <c r="J20" i="5"/>
  <c r="I20" i="5"/>
  <c r="H20" i="5"/>
  <c r="F20" i="5"/>
  <c r="K19" i="5"/>
  <c r="L19" i="5" s="1"/>
  <c r="J19" i="5"/>
  <c r="I19" i="5"/>
  <c r="H19" i="5"/>
  <c r="F19" i="5"/>
  <c r="K18" i="5"/>
  <c r="L18" i="5" s="1"/>
  <c r="J18" i="5"/>
  <c r="I18" i="5"/>
  <c r="H18" i="5"/>
  <c r="F18" i="5"/>
  <c r="I48" i="6" l="1"/>
  <c r="M131" i="5"/>
  <c r="O131" i="5" s="1"/>
  <c r="P131" i="5" s="1"/>
  <c r="M81" i="5"/>
  <c r="O81" i="5" s="1"/>
  <c r="P81" i="5" s="1"/>
  <c r="M107" i="5"/>
  <c r="O107" i="5" s="1"/>
  <c r="P107" i="5" s="1"/>
  <c r="M39" i="5"/>
  <c r="O39" i="5" s="1"/>
  <c r="M47" i="5"/>
  <c r="O47" i="5" s="1"/>
  <c r="M55" i="5"/>
  <c r="O55" i="5" s="1"/>
  <c r="M63" i="5"/>
  <c r="O63" i="5" s="1"/>
  <c r="M67" i="5"/>
  <c r="O67" i="5" s="1"/>
  <c r="P67" i="5" s="1"/>
  <c r="M91" i="5"/>
  <c r="O91" i="5" s="1"/>
  <c r="P91" i="5" s="1"/>
  <c r="M115" i="5"/>
  <c r="O115" i="5" s="1"/>
  <c r="P115" i="5" s="1"/>
  <c r="M31" i="5"/>
  <c r="O31" i="5" s="1"/>
  <c r="M35" i="5"/>
  <c r="O35" i="5" s="1"/>
  <c r="M43" i="5"/>
  <c r="O43" i="5" s="1"/>
  <c r="M51" i="5"/>
  <c r="O51" i="5" s="1"/>
  <c r="P51" i="5" s="1"/>
  <c r="M59" i="5"/>
  <c r="O59" i="5" s="1"/>
  <c r="M71" i="5"/>
  <c r="O71" i="5" s="1"/>
  <c r="P71" i="5" s="1"/>
  <c r="M29" i="5"/>
  <c r="O29" i="5" s="1"/>
  <c r="P29" i="5" s="1"/>
  <c r="M33" i="5"/>
  <c r="O33" i="5" s="1"/>
  <c r="P33" i="5" s="1"/>
  <c r="M37" i="5"/>
  <c r="O37" i="5" s="1"/>
  <c r="P37" i="5" s="1"/>
  <c r="M41" i="5"/>
  <c r="O41" i="5" s="1"/>
  <c r="P41" i="5" s="1"/>
  <c r="M45" i="5"/>
  <c r="O45" i="5" s="1"/>
  <c r="P45" i="5" s="1"/>
  <c r="M49" i="5"/>
  <c r="O49" i="5" s="1"/>
  <c r="P49" i="5" s="1"/>
  <c r="M53" i="5"/>
  <c r="O53" i="5" s="1"/>
  <c r="P53" i="5" s="1"/>
  <c r="M57" i="5"/>
  <c r="O57" i="5" s="1"/>
  <c r="P57" i="5" s="1"/>
  <c r="M61" i="5"/>
  <c r="O61" i="5" s="1"/>
  <c r="P61" i="5" s="1"/>
  <c r="M65" i="5"/>
  <c r="O65" i="5" s="1"/>
  <c r="P65" i="5" s="1"/>
  <c r="M73" i="5"/>
  <c r="O73" i="5" s="1"/>
  <c r="P73" i="5" s="1"/>
  <c r="M99" i="5"/>
  <c r="O99" i="5" s="1"/>
  <c r="P99" i="5" s="1"/>
  <c r="M123" i="5"/>
  <c r="O123" i="5" s="1"/>
  <c r="P123" i="5" s="1"/>
  <c r="M158" i="5"/>
  <c r="O158" i="5" s="1"/>
  <c r="P158" i="5" s="1"/>
  <c r="M160" i="5"/>
  <c r="O160" i="5" s="1"/>
  <c r="P160" i="5" s="1"/>
  <c r="M162" i="5"/>
  <c r="O162" i="5" s="1"/>
  <c r="M164" i="5"/>
  <c r="O164" i="5" s="1"/>
  <c r="P164" i="5" s="1"/>
  <c r="M19" i="5"/>
  <c r="O19" i="5" s="1"/>
  <c r="P19" i="5" s="1"/>
  <c r="M23" i="5"/>
  <c r="O23" i="5" s="1"/>
  <c r="P23" i="5" s="1"/>
  <c r="M27" i="5"/>
  <c r="O27" i="5" s="1"/>
  <c r="P27" i="5" s="1"/>
  <c r="M26" i="5"/>
  <c r="O26" i="5" s="1"/>
  <c r="P26" i="5" s="1"/>
  <c r="M21" i="5"/>
  <c r="O21" i="5" s="1"/>
  <c r="P21" i="5" s="1"/>
  <c r="M25" i="5"/>
  <c r="O25" i="5" s="1"/>
  <c r="P25" i="5" s="1"/>
  <c r="M18" i="5"/>
  <c r="O18" i="5" s="1"/>
  <c r="P18" i="5" s="1"/>
  <c r="M22" i="5"/>
  <c r="O22" i="5" s="1"/>
  <c r="P22" i="5" s="1"/>
  <c r="M69" i="5"/>
  <c r="O69" i="5" s="1"/>
  <c r="P69" i="5" s="1"/>
  <c r="M20" i="5"/>
  <c r="O20" i="5" s="1"/>
  <c r="P20" i="5" s="1"/>
  <c r="M24" i="5"/>
  <c r="O24" i="5" s="1"/>
  <c r="P24" i="5" s="1"/>
  <c r="M28" i="5"/>
  <c r="O28" i="5" s="1"/>
  <c r="P28" i="5" s="1"/>
  <c r="M30" i="5"/>
  <c r="O30" i="5" s="1"/>
  <c r="P30" i="5" s="1"/>
  <c r="M32" i="5"/>
  <c r="O32" i="5" s="1"/>
  <c r="P32" i="5" s="1"/>
  <c r="M34" i="5"/>
  <c r="O34" i="5" s="1"/>
  <c r="P34" i="5" s="1"/>
  <c r="M36" i="5"/>
  <c r="O36" i="5" s="1"/>
  <c r="P36" i="5" s="1"/>
  <c r="M38" i="5"/>
  <c r="O38" i="5" s="1"/>
  <c r="P38" i="5" s="1"/>
  <c r="M40" i="5"/>
  <c r="O40" i="5" s="1"/>
  <c r="P40" i="5" s="1"/>
  <c r="M42" i="5"/>
  <c r="O42" i="5" s="1"/>
  <c r="P42" i="5" s="1"/>
  <c r="M44" i="5"/>
  <c r="O44" i="5" s="1"/>
  <c r="P44" i="5" s="1"/>
  <c r="M46" i="5"/>
  <c r="O46" i="5" s="1"/>
  <c r="P46" i="5" s="1"/>
  <c r="M48" i="5"/>
  <c r="O48" i="5" s="1"/>
  <c r="P48" i="5" s="1"/>
  <c r="M50" i="5"/>
  <c r="O50" i="5" s="1"/>
  <c r="P50" i="5" s="1"/>
  <c r="M52" i="5"/>
  <c r="O52" i="5" s="1"/>
  <c r="P52" i="5" s="1"/>
  <c r="M54" i="5"/>
  <c r="O54" i="5" s="1"/>
  <c r="P54" i="5" s="1"/>
  <c r="M56" i="5"/>
  <c r="O56" i="5" s="1"/>
  <c r="P56" i="5" s="1"/>
  <c r="M58" i="5"/>
  <c r="O58" i="5" s="1"/>
  <c r="P58" i="5" s="1"/>
  <c r="M60" i="5"/>
  <c r="O60" i="5" s="1"/>
  <c r="P60" i="5" s="1"/>
  <c r="M62" i="5"/>
  <c r="O62" i="5" s="1"/>
  <c r="P62" i="5" s="1"/>
  <c r="M64" i="5"/>
  <c r="O64" i="5" s="1"/>
  <c r="P64" i="5" s="1"/>
  <c r="M66" i="5"/>
  <c r="O66" i="5" s="1"/>
  <c r="P66" i="5" s="1"/>
  <c r="M68" i="5"/>
  <c r="O68" i="5" s="1"/>
  <c r="P68" i="5" s="1"/>
  <c r="M70" i="5"/>
  <c r="O70" i="5" s="1"/>
  <c r="P70" i="5" s="1"/>
  <c r="M72" i="5"/>
  <c r="O72" i="5" s="1"/>
  <c r="M77" i="5"/>
  <c r="O77" i="5" s="1"/>
  <c r="P77" i="5" s="1"/>
  <c r="M95" i="5"/>
  <c r="O95" i="5" s="1"/>
  <c r="P95" i="5" s="1"/>
  <c r="M103" i="5"/>
  <c r="O103" i="5" s="1"/>
  <c r="P103" i="5" s="1"/>
  <c r="M111" i="5"/>
  <c r="O111" i="5" s="1"/>
  <c r="P111" i="5" s="1"/>
  <c r="M119" i="5"/>
  <c r="O119" i="5" s="1"/>
  <c r="P119" i="5" s="1"/>
  <c r="M127" i="5"/>
  <c r="O127" i="5" s="1"/>
  <c r="P127" i="5" s="1"/>
  <c r="M155" i="5"/>
  <c r="O155" i="5" s="1"/>
  <c r="P155" i="5" s="1"/>
  <c r="M74" i="5"/>
  <c r="O74" i="5" s="1"/>
  <c r="P74" i="5" s="1"/>
  <c r="M78" i="5"/>
  <c r="O78" i="5" s="1"/>
  <c r="P78" i="5" s="1"/>
  <c r="M82" i="5"/>
  <c r="O82" i="5" s="1"/>
  <c r="P82" i="5" s="1"/>
  <c r="S82" i="5" s="1"/>
  <c r="M85" i="5"/>
  <c r="O85" i="5" s="1"/>
  <c r="P85" i="5" s="1"/>
  <c r="M88" i="5"/>
  <c r="O88" i="5" s="1"/>
  <c r="P88" i="5" s="1"/>
  <c r="M92" i="5"/>
  <c r="O92" i="5" s="1"/>
  <c r="M96" i="5"/>
  <c r="O96" i="5" s="1"/>
  <c r="P96" i="5" s="1"/>
  <c r="M100" i="5"/>
  <c r="O100" i="5" s="1"/>
  <c r="P100" i="5" s="1"/>
  <c r="M104" i="5"/>
  <c r="O104" i="5" s="1"/>
  <c r="P104" i="5" s="1"/>
  <c r="M108" i="5"/>
  <c r="O108" i="5" s="1"/>
  <c r="P108" i="5" s="1"/>
  <c r="M112" i="5"/>
  <c r="O112" i="5" s="1"/>
  <c r="P112" i="5" s="1"/>
  <c r="M116" i="5"/>
  <c r="O116" i="5" s="1"/>
  <c r="P116" i="5" s="1"/>
  <c r="M120" i="5"/>
  <c r="O120" i="5" s="1"/>
  <c r="P120" i="5" s="1"/>
  <c r="M124" i="5"/>
  <c r="O124" i="5" s="1"/>
  <c r="P124" i="5" s="1"/>
  <c r="M128" i="5"/>
  <c r="O128" i="5" s="1"/>
  <c r="P128" i="5" s="1"/>
  <c r="M132" i="5"/>
  <c r="O132" i="5" s="1"/>
  <c r="P132" i="5" s="1"/>
  <c r="M152" i="5"/>
  <c r="O152" i="5" s="1"/>
  <c r="M156" i="5"/>
  <c r="O156" i="5" s="1"/>
  <c r="P156" i="5" s="1"/>
  <c r="M159" i="5"/>
  <c r="O159" i="5" s="1"/>
  <c r="P159" i="5" s="1"/>
  <c r="M161" i="5"/>
  <c r="O161" i="5" s="1"/>
  <c r="P161" i="5" s="1"/>
  <c r="M163" i="5"/>
  <c r="O163" i="5" s="1"/>
  <c r="P163" i="5" s="1"/>
  <c r="M76" i="5"/>
  <c r="O76" i="5" s="1"/>
  <c r="P76" i="5" s="1"/>
  <c r="M80" i="5"/>
  <c r="O80" i="5" s="1"/>
  <c r="P80" i="5" s="1"/>
  <c r="M84" i="5"/>
  <c r="O84" i="5" s="1"/>
  <c r="P84" i="5" s="1"/>
  <c r="M87" i="5"/>
  <c r="O87" i="5" s="1"/>
  <c r="P87" i="5" s="1"/>
  <c r="M90" i="5"/>
  <c r="O90" i="5" s="1"/>
  <c r="P90" i="5" s="1"/>
  <c r="M94" i="5"/>
  <c r="O94" i="5" s="1"/>
  <c r="P94" i="5" s="1"/>
  <c r="M98" i="5"/>
  <c r="O98" i="5" s="1"/>
  <c r="P98" i="5" s="1"/>
  <c r="M102" i="5"/>
  <c r="O102" i="5" s="1"/>
  <c r="M106" i="5"/>
  <c r="O106" i="5" s="1"/>
  <c r="P106" i="5" s="1"/>
  <c r="M110" i="5"/>
  <c r="O110" i="5" s="1"/>
  <c r="P110" i="5" s="1"/>
  <c r="M114" i="5"/>
  <c r="O114" i="5" s="1"/>
  <c r="P114" i="5" s="1"/>
  <c r="M118" i="5"/>
  <c r="O118" i="5" s="1"/>
  <c r="M122" i="5"/>
  <c r="O122" i="5" s="1"/>
  <c r="P122" i="5" s="1"/>
  <c r="M126" i="5"/>
  <c r="O126" i="5" s="1"/>
  <c r="P126" i="5" s="1"/>
  <c r="M130" i="5"/>
  <c r="O130" i="5" s="1"/>
  <c r="P130" i="5" s="1"/>
  <c r="M154" i="5"/>
  <c r="O154" i="5" s="1"/>
  <c r="P154" i="5" s="1"/>
  <c r="M75" i="5"/>
  <c r="O75" i="5" s="1"/>
  <c r="P75" i="5" s="1"/>
  <c r="M79" i="5"/>
  <c r="O79" i="5" s="1"/>
  <c r="P79" i="5" s="1"/>
  <c r="M83" i="5"/>
  <c r="O83" i="5" s="1"/>
  <c r="P83" i="5" s="1"/>
  <c r="M86" i="5"/>
  <c r="O86" i="5" s="1"/>
  <c r="P86" i="5" s="1"/>
  <c r="M89" i="5"/>
  <c r="O89" i="5" s="1"/>
  <c r="P89" i="5" s="1"/>
  <c r="M93" i="5"/>
  <c r="O93" i="5" s="1"/>
  <c r="P93" i="5" s="1"/>
  <c r="M97" i="5"/>
  <c r="O97" i="5" s="1"/>
  <c r="P97" i="5" s="1"/>
  <c r="M101" i="5"/>
  <c r="O101" i="5" s="1"/>
  <c r="P101" i="5" s="1"/>
  <c r="M105" i="5"/>
  <c r="O105" i="5" s="1"/>
  <c r="P105" i="5" s="1"/>
  <c r="M109" i="5"/>
  <c r="O109" i="5" s="1"/>
  <c r="P109" i="5" s="1"/>
  <c r="M113" i="5"/>
  <c r="O113" i="5" s="1"/>
  <c r="P113" i="5" s="1"/>
  <c r="M117" i="5"/>
  <c r="O117" i="5" s="1"/>
  <c r="M121" i="5"/>
  <c r="O121" i="5" s="1"/>
  <c r="P121" i="5" s="1"/>
  <c r="M125" i="5"/>
  <c r="O125" i="5" s="1"/>
  <c r="P125" i="5" s="1"/>
  <c r="M129" i="5"/>
  <c r="O129" i="5" s="1"/>
  <c r="P129" i="5" s="1"/>
  <c r="M133" i="5"/>
  <c r="O133" i="5" s="1"/>
  <c r="M153" i="5"/>
  <c r="O153" i="5" s="1"/>
  <c r="P153" i="5" s="1"/>
  <c r="M157" i="5"/>
  <c r="O157" i="5" s="1"/>
  <c r="P157" i="5" s="1"/>
  <c r="F13" i="11" l="1"/>
  <c r="Q18" i="5"/>
  <c r="S18" i="5"/>
  <c r="R18" i="5" s="1"/>
  <c r="R82" i="5"/>
  <c r="T82" i="5"/>
  <c r="K30" i="6"/>
  <c r="K33" i="6"/>
  <c r="K34" i="6"/>
  <c r="K29" i="6"/>
  <c r="S112" i="5"/>
  <c r="T112" i="5" s="1"/>
  <c r="Q112" i="5"/>
  <c r="S164" i="5"/>
  <c r="R164" i="5" s="1"/>
  <c r="Q164" i="5"/>
  <c r="S61" i="5"/>
  <c r="Q61" i="5"/>
  <c r="S29" i="5"/>
  <c r="Q29" i="5"/>
  <c r="S107" i="5"/>
  <c r="T107" i="5" s="1"/>
  <c r="Q107" i="5"/>
  <c r="S161" i="5"/>
  <c r="Q161" i="5"/>
  <c r="S120" i="5"/>
  <c r="R120" i="5" s="1"/>
  <c r="Q120" i="5"/>
  <c r="S104" i="5"/>
  <c r="T104" i="5" s="1"/>
  <c r="Q104" i="5"/>
  <c r="S88" i="5"/>
  <c r="T88" i="5" s="1"/>
  <c r="Q88" i="5"/>
  <c r="S78" i="5"/>
  <c r="R78" i="5" s="1"/>
  <c r="Q78" i="5"/>
  <c r="P72" i="5"/>
  <c r="S64" i="5"/>
  <c r="T64" i="5" s="1"/>
  <c r="Q64" i="5"/>
  <c r="S56" i="5"/>
  <c r="T56" i="5" s="1"/>
  <c r="Q56" i="5"/>
  <c r="S48" i="5"/>
  <c r="T48" i="5" s="1"/>
  <c r="Q48" i="5"/>
  <c r="S40" i="5"/>
  <c r="T40" i="5" s="1"/>
  <c r="Q40" i="5"/>
  <c r="S32" i="5"/>
  <c r="T32" i="5" s="1"/>
  <c r="Q32" i="5"/>
  <c r="S20" i="5"/>
  <c r="T20" i="5" s="1"/>
  <c r="Q20" i="5"/>
  <c r="P35" i="5"/>
  <c r="P118" i="5"/>
  <c r="S87" i="5"/>
  <c r="T87" i="5" s="1"/>
  <c r="Q87" i="5"/>
  <c r="S105" i="5"/>
  <c r="R105" i="5" s="1"/>
  <c r="Q105" i="5"/>
  <c r="S153" i="5"/>
  <c r="Q153" i="5"/>
  <c r="S125" i="5"/>
  <c r="R125" i="5" s="1"/>
  <c r="Q125" i="5"/>
  <c r="S109" i="5"/>
  <c r="R109" i="5" s="1"/>
  <c r="Q109" i="5"/>
  <c r="S93" i="5"/>
  <c r="T93" i="5" s="1"/>
  <c r="Q93" i="5"/>
  <c r="S83" i="5"/>
  <c r="R83" i="5" s="1"/>
  <c r="Q83" i="5"/>
  <c r="S122" i="5"/>
  <c r="Q122" i="5"/>
  <c r="S106" i="5"/>
  <c r="T106" i="5" s="1"/>
  <c r="Q106" i="5"/>
  <c r="S90" i="5"/>
  <c r="T90" i="5" s="1"/>
  <c r="Q90" i="5"/>
  <c r="S80" i="5"/>
  <c r="Q80" i="5"/>
  <c r="S159" i="5"/>
  <c r="T159" i="5" s="1"/>
  <c r="Q159" i="5"/>
  <c r="S132" i="5"/>
  <c r="R132" i="5" s="1"/>
  <c r="Q132" i="5"/>
  <c r="S116" i="5"/>
  <c r="Q116" i="5"/>
  <c r="S100" i="5"/>
  <c r="Q100" i="5"/>
  <c r="S85" i="5"/>
  <c r="T85" i="5" s="1"/>
  <c r="Q85" i="5"/>
  <c r="S74" i="5"/>
  <c r="R74" i="5" s="1"/>
  <c r="Q74" i="5"/>
  <c r="S119" i="5"/>
  <c r="T119" i="5" s="1"/>
  <c r="Q119" i="5"/>
  <c r="S70" i="5"/>
  <c r="R70" i="5" s="1"/>
  <c r="Q70" i="5"/>
  <c r="S62" i="5"/>
  <c r="T62" i="5" s="1"/>
  <c r="Q62" i="5"/>
  <c r="S54" i="5"/>
  <c r="R54" i="5" s="1"/>
  <c r="Q54" i="5"/>
  <c r="S46" i="5"/>
  <c r="Q46" i="5"/>
  <c r="S38" i="5"/>
  <c r="R38" i="5" s="1"/>
  <c r="Q38" i="5"/>
  <c r="S30" i="5"/>
  <c r="R30" i="5" s="1"/>
  <c r="Q30" i="5"/>
  <c r="S69" i="5"/>
  <c r="Q69" i="5"/>
  <c r="S21" i="5"/>
  <c r="R21" i="5" s="1"/>
  <c r="Q21" i="5"/>
  <c r="S19" i="5"/>
  <c r="Q19" i="5"/>
  <c r="S158" i="5"/>
  <c r="Q158" i="5"/>
  <c r="S65" i="5"/>
  <c r="T65" i="5" s="1"/>
  <c r="Q65" i="5"/>
  <c r="S49" i="5"/>
  <c r="T49" i="5" s="1"/>
  <c r="Q49" i="5"/>
  <c r="S33" i="5"/>
  <c r="Q33" i="5"/>
  <c r="P59" i="5"/>
  <c r="P31" i="5"/>
  <c r="S67" i="5"/>
  <c r="Q67" i="5"/>
  <c r="P39" i="5"/>
  <c r="S154" i="5"/>
  <c r="R154" i="5" s="1"/>
  <c r="Q154" i="5"/>
  <c r="S110" i="5"/>
  <c r="T110" i="5" s="1"/>
  <c r="Q110" i="5"/>
  <c r="S156" i="5"/>
  <c r="R156" i="5" s="1"/>
  <c r="Q156" i="5"/>
  <c r="S128" i="5"/>
  <c r="R128" i="5" s="1"/>
  <c r="Q128" i="5"/>
  <c r="S96" i="5"/>
  <c r="R96" i="5" s="1"/>
  <c r="Q96" i="5"/>
  <c r="S22" i="5"/>
  <c r="T22" i="5" s="1"/>
  <c r="Q22" i="5"/>
  <c r="S123" i="5"/>
  <c r="T123" i="5" s="1"/>
  <c r="Q123" i="5"/>
  <c r="S45" i="5"/>
  <c r="T45" i="5" s="1"/>
  <c r="Q45" i="5"/>
  <c r="S51" i="5"/>
  <c r="R51" i="5" s="1"/>
  <c r="Q51" i="5"/>
  <c r="P102" i="5"/>
  <c r="S76" i="5"/>
  <c r="Q76" i="5"/>
  <c r="S121" i="5"/>
  <c r="Q121" i="5"/>
  <c r="P133" i="5"/>
  <c r="P117" i="5"/>
  <c r="S101" i="5"/>
  <c r="R101" i="5" s="1"/>
  <c r="Q101" i="5"/>
  <c r="S86" i="5"/>
  <c r="R86" i="5" s="1"/>
  <c r="Q86" i="5"/>
  <c r="S75" i="5"/>
  <c r="R75" i="5" s="1"/>
  <c r="Q75" i="5"/>
  <c r="S130" i="5"/>
  <c r="R130" i="5" s="1"/>
  <c r="Q130" i="5"/>
  <c r="S114" i="5"/>
  <c r="Q114" i="5"/>
  <c r="S98" i="5"/>
  <c r="T98" i="5" s="1"/>
  <c r="Q98" i="5"/>
  <c r="S163" i="5"/>
  <c r="T163" i="5" s="1"/>
  <c r="Q163" i="5"/>
  <c r="P152" i="5"/>
  <c r="S124" i="5"/>
  <c r="Q124" i="5"/>
  <c r="S108" i="5"/>
  <c r="Q108" i="5"/>
  <c r="P92" i="5"/>
  <c r="Q82" i="5"/>
  <c r="S103" i="5"/>
  <c r="T103" i="5" s="1"/>
  <c r="Q103" i="5"/>
  <c r="S77" i="5"/>
  <c r="R77" i="5" s="1"/>
  <c r="Q77" i="5"/>
  <c r="S66" i="5"/>
  <c r="T66" i="5" s="1"/>
  <c r="Q66" i="5"/>
  <c r="S58" i="5"/>
  <c r="R58" i="5" s="1"/>
  <c r="Q58" i="5"/>
  <c r="S50" i="5"/>
  <c r="R50" i="5" s="1"/>
  <c r="Q50" i="5"/>
  <c r="S42" i="5"/>
  <c r="R42" i="5" s="1"/>
  <c r="Q42" i="5"/>
  <c r="S34" i="5"/>
  <c r="R34" i="5" s="1"/>
  <c r="Q34" i="5"/>
  <c r="S24" i="5"/>
  <c r="Q24" i="5"/>
  <c r="S27" i="5"/>
  <c r="Q27" i="5"/>
  <c r="P162" i="5"/>
  <c r="S99" i="5"/>
  <c r="T99" i="5" s="1"/>
  <c r="Q99" i="5"/>
  <c r="S57" i="5"/>
  <c r="R57" i="5" s="1"/>
  <c r="Q57" i="5"/>
  <c r="S41" i="5"/>
  <c r="R41" i="5" s="1"/>
  <c r="Q41" i="5"/>
  <c r="P43" i="5"/>
  <c r="S91" i="5"/>
  <c r="Q91" i="5"/>
  <c r="P55" i="5"/>
  <c r="S81" i="5"/>
  <c r="R81" i="5" s="1"/>
  <c r="Q81" i="5"/>
  <c r="S126" i="5"/>
  <c r="T126" i="5" s="1"/>
  <c r="Q126" i="5"/>
  <c r="S89" i="5"/>
  <c r="R89" i="5" s="1"/>
  <c r="Q89" i="5"/>
  <c r="S79" i="5"/>
  <c r="T79" i="5" s="1"/>
  <c r="Q79" i="5"/>
  <c r="P63" i="5"/>
  <c r="P47" i="5"/>
  <c r="S111" i="5"/>
  <c r="T111" i="5" s="1"/>
  <c r="Q111" i="5"/>
  <c r="S25" i="5"/>
  <c r="R25" i="5" s="1"/>
  <c r="Q25" i="5"/>
  <c r="S127" i="5"/>
  <c r="Q127" i="5"/>
  <c r="S73" i="5"/>
  <c r="Q73" i="5"/>
  <c r="S37" i="5"/>
  <c r="R37" i="5" s="1"/>
  <c r="Q37" i="5"/>
  <c r="S68" i="5"/>
  <c r="T68" i="5" s="1"/>
  <c r="Q68" i="5"/>
  <c r="S52" i="5"/>
  <c r="Q52" i="5"/>
  <c r="S36" i="5"/>
  <c r="T36" i="5" s="1"/>
  <c r="Q36" i="5"/>
  <c r="S28" i="5"/>
  <c r="Q28" i="5"/>
  <c r="S94" i="5"/>
  <c r="T94" i="5" s="1"/>
  <c r="Q94" i="5"/>
  <c r="S84" i="5"/>
  <c r="Q84" i="5"/>
  <c r="S157" i="5"/>
  <c r="Q157" i="5"/>
  <c r="S129" i="5"/>
  <c r="T129" i="5" s="1"/>
  <c r="Q129" i="5"/>
  <c r="S113" i="5"/>
  <c r="R113" i="5" s="1"/>
  <c r="Q113" i="5"/>
  <c r="S97" i="5"/>
  <c r="R97" i="5" s="1"/>
  <c r="Q97" i="5"/>
  <c r="S71" i="5"/>
  <c r="T71" i="5" s="1"/>
  <c r="Q71" i="5"/>
  <c r="S23" i="5"/>
  <c r="Q23" i="5"/>
  <c r="S131" i="5"/>
  <c r="T131" i="5" s="1"/>
  <c r="Q131" i="5"/>
  <c r="S95" i="5"/>
  <c r="T95" i="5" s="1"/>
  <c r="Q95" i="5"/>
  <c r="S160" i="5"/>
  <c r="R160" i="5" s="1"/>
  <c r="Q160" i="5"/>
  <c r="S26" i="5"/>
  <c r="R26" i="5" s="1"/>
  <c r="Q26" i="5"/>
  <c r="S155" i="5"/>
  <c r="Q155" i="5"/>
  <c r="S115" i="5"/>
  <c r="Q115" i="5"/>
  <c r="S53" i="5"/>
  <c r="T53" i="5" s="1"/>
  <c r="Q53" i="5"/>
  <c r="S60" i="5"/>
  <c r="T60" i="5" s="1"/>
  <c r="Q60" i="5"/>
  <c r="S44" i="5"/>
  <c r="Q44" i="5"/>
  <c r="K31" i="6"/>
  <c r="K35" i="6"/>
  <c r="K32" i="6"/>
  <c r="K28" i="6"/>
  <c r="Q133" i="5" l="1"/>
  <c r="S133" i="5"/>
  <c r="T18" i="5"/>
  <c r="R104" i="5"/>
  <c r="R119" i="5"/>
  <c r="R111" i="5"/>
  <c r="T101" i="5"/>
  <c r="R98" i="5"/>
  <c r="T164" i="5"/>
  <c r="T86" i="5"/>
  <c r="R90" i="5"/>
  <c r="R163" i="5"/>
  <c r="R65" i="5"/>
  <c r="R103" i="5"/>
  <c r="R66" i="5"/>
  <c r="T50" i="5"/>
  <c r="T120" i="5"/>
  <c r="R88" i="5"/>
  <c r="R112" i="5"/>
  <c r="R48" i="5"/>
  <c r="T77" i="5"/>
  <c r="R129" i="5"/>
  <c r="T58" i="5"/>
  <c r="R62" i="5"/>
  <c r="R131" i="5"/>
  <c r="R71" i="5"/>
  <c r="R153" i="5"/>
  <c r="R53" i="5"/>
  <c r="T75" i="5"/>
  <c r="R157" i="5"/>
  <c r="T132" i="5"/>
  <c r="T21" i="5"/>
  <c r="R49" i="5"/>
  <c r="R123" i="5"/>
  <c r="T74" i="5"/>
  <c r="R40" i="5"/>
  <c r="T51" i="5"/>
  <c r="T78" i="5"/>
  <c r="R93" i="5"/>
  <c r="T113" i="5"/>
  <c r="T105" i="5"/>
  <c r="T125" i="5"/>
  <c r="T42" i="5"/>
  <c r="R94" i="5"/>
  <c r="T30" i="5"/>
  <c r="I27" i="6" s="1"/>
  <c r="K27" i="6" s="1"/>
  <c r="R68" i="5"/>
  <c r="R56" i="5"/>
  <c r="R79" i="5"/>
  <c r="T26" i="5"/>
  <c r="R106" i="5"/>
  <c r="R107" i="5"/>
  <c r="R126" i="5"/>
  <c r="T25" i="5"/>
  <c r="T109" i="5"/>
  <c r="T97" i="5"/>
  <c r="T83" i="5"/>
  <c r="T81" i="5"/>
  <c r="T89" i="5"/>
  <c r="R22" i="5"/>
  <c r="T37" i="5"/>
  <c r="T128" i="5"/>
  <c r="R32" i="5"/>
  <c r="R45" i="5"/>
  <c r="R64" i="5"/>
  <c r="R155" i="5"/>
  <c r="R85" i="5"/>
  <c r="R60" i="5"/>
  <c r="R159" i="5"/>
  <c r="R110" i="5"/>
  <c r="R99" i="5"/>
  <c r="T34" i="5"/>
  <c r="T57" i="5"/>
  <c r="T41" i="5"/>
  <c r="T160" i="5"/>
  <c r="R36" i="5"/>
  <c r="T70" i="5"/>
  <c r="T54" i="5"/>
  <c r="T38" i="5"/>
  <c r="R95" i="5"/>
  <c r="R87" i="5"/>
  <c r="T96" i="5"/>
  <c r="T130" i="5"/>
  <c r="S47" i="5"/>
  <c r="Q47" i="5"/>
  <c r="S55" i="5"/>
  <c r="Q55" i="5"/>
  <c r="S43" i="5"/>
  <c r="Q43" i="5"/>
  <c r="S92" i="5"/>
  <c r="Q92" i="5"/>
  <c r="S117" i="5"/>
  <c r="Q117" i="5"/>
  <c r="S102" i="5"/>
  <c r="Q102" i="5"/>
  <c r="S59" i="5"/>
  <c r="Q59" i="5"/>
  <c r="S35" i="5"/>
  <c r="Q35" i="5"/>
  <c r="R84" i="5"/>
  <c r="T84" i="5"/>
  <c r="I26" i="6" s="1"/>
  <c r="K26" i="6" s="1"/>
  <c r="R28" i="5"/>
  <c r="T28" i="5"/>
  <c r="R52" i="5"/>
  <c r="T52" i="5"/>
  <c r="R127" i="5"/>
  <c r="T127" i="5"/>
  <c r="R27" i="5"/>
  <c r="T27" i="5"/>
  <c r="R24" i="5"/>
  <c r="T24" i="5"/>
  <c r="R124" i="5"/>
  <c r="T124" i="5"/>
  <c r="R121" i="5"/>
  <c r="T121" i="5"/>
  <c r="R67" i="5"/>
  <c r="T67" i="5"/>
  <c r="R158" i="5"/>
  <c r="T46" i="5"/>
  <c r="R46" i="5"/>
  <c r="R100" i="5"/>
  <c r="T100" i="5"/>
  <c r="R80" i="5"/>
  <c r="T80" i="5"/>
  <c r="R61" i="5"/>
  <c r="T61" i="5"/>
  <c r="S63" i="5"/>
  <c r="Q63" i="5"/>
  <c r="S162" i="5"/>
  <c r="Q162" i="5"/>
  <c r="S152" i="5"/>
  <c r="Q152" i="5"/>
  <c r="S39" i="5"/>
  <c r="Q39" i="5"/>
  <c r="S31" i="5"/>
  <c r="Q31" i="5"/>
  <c r="S118" i="5"/>
  <c r="Q118" i="5"/>
  <c r="S72" i="5"/>
  <c r="Q72" i="5"/>
  <c r="T44" i="5"/>
  <c r="R44" i="5"/>
  <c r="T115" i="5"/>
  <c r="R115" i="5"/>
  <c r="R23" i="5"/>
  <c r="T23" i="5"/>
  <c r="T73" i="5"/>
  <c r="R73" i="5"/>
  <c r="R91" i="5"/>
  <c r="T91" i="5"/>
  <c r="R108" i="5"/>
  <c r="T108" i="5"/>
  <c r="R114" i="5"/>
  <c r="T114" i="5"/>
  <c r="T76" i="5"/>
  <c r="R76" i="5"/>
  <c r="R33" i="5"/>
  <c r="T33" i="5"/>
  <c r="R19" i="5"/>
  <c r="T19" i="5"/>
  <c r="R69" i="5"/>
  <c r="T69" i="5"/>
  <c r="R116" i="5"/>
  <c r="T116" i="5"/>
  <c r="R122" i="5"/>
  <c r="T122" i="5"/>
  <c r="R20" i="5"/>
  <c r="T161" i="5"/>
  <c r="R161" i="5"/>
  <c r="T29" i="5"/>
  <c r="R29" i="5"/>
  <c r="R133" i="5" l="1"/>
  <c r="T133" i="5"/>
  <c r="T39" i="5"/>
  <c r="R39" i="5"/>
  <c r="R63" i="5"/>
  <c r="T63" i="5"/>
  <c r="T55" i="5"/>
  <c r="R55" i="5"/>
  <c r="R118" i="5"/>
  <c r="T118" i="5"/>
  <c r="R152" i="5"/>
  <c r="R102" i="5"/>
  <c r="T102" i="5"/>
  <c r="T92" i="5"/>
  <c r="R92" i="5"/>
  <c r="R72" i="5"/>
  <c r="T72" i="5"/>
  <c r="T31" i="5"/>
  <c r="R31" i="5"/>
  <c r="R162" i="5"/>
  <c r="T162" i="5"/>
  <c r="T35" i="5"/>
  <c r="R35" i="5"/>
  <c r="R59" i="5"/>
  <c r="T59" i="5"/>
  <c r="T117" i="5"/>
  <c r="R117" i="5"/>
  <c r="T43" i="5"/>
  <c r="R43" i="5"/>
  <c r="T47" i="5"/>
  <c r="R47" i="5"/>
  <c r="K36" i="6" l="1"/>
  <c r="F14" i="11" l="1"/>
  <c r="F12" i="11"/>
  <c r="F11" i="11" l="1"/>
  <c r="F15" i="11" s="1"/>
  <c r="F16" i="11" l="1"/>
</calcChain>
</file>

<file path=xl/sharedStrings.xml><?xml version="1.0" encoding="utf-8"?>
<sst xmlns="http://schemas.openxmlformats.org/spreadsheetml/2006/main" count="360" uniqueCount="276">
  <si>
    <t>University of Newcastle</t>
  </si>
  <si>
    <t>Small Consultancy Summary</t>
  </si>
  <si>
    <t>Summary</t>
  </si>
  <si>
    <t>Link to summary</t>
  </si>
  <si>
    <t>General</t>
  </si>
  <si>
    <t>Model Name</t>
  </si>
  <si>
    <t>Contact Person (Responsible Officer)</t>
  </si>
  <si>
    <t>Contact Email</t>
  </si>
  <si>
    <t>Contact Phone Ext</t>
  </si>
  <si>
    <t>Managing Unit (School / Porfolio)</t>
  </si>
  <si>
    <t>Contents</t>
  </si>
  <si>
    <t>Sign-off</t>
  </si>
  <si>
    <t>Details</t>
  </si>
  <si>
    <t>Checklist</t>
  </si>
  <si>
    <t>Financial Assumptions</t>
  </si>
  <si>
    <t>Instructions</t>
  </si>
  <si>
    <t>Please complete all cells formatted in the following:</t>
  </si>
  <si>
    <t>Summary Financials</t>
  </si>
  <si>
    <t>Item</t>
  </si>
  <si>
    <t>$</t>
  </si>
  <si>
    <t>Revenue</t>
  </si>
  <si>
    <t>Salary</t>
  </si>
  <si>
    <t>Non-salary</t>
  </si>
  <si>
    <t>Overhead applied</t>
  </si>
  <si>
    <t>EBITDA</t>
  </si>
  <si>
    <t>i.e. notional amount to be retained in staff support account</t>
  </si>
  <si>
    <t>EBITDA Margin</t>
  </si>
  <si>
    <t>Commercial Activity Acknowledgement</t>
  </si>
  <si>
    <r>
      <t xml:space="preserve">I have read and acknowledge the </t>
    </r>
    <r>
      <rPr>
        <i/>
        <sz val="10"/>
        <color theme="1"/>
        <rFont val="Gill Sans MT"/>
        <family val="2"/>
      </rPr>
      <t>GUIDELINES FOR COMMERCIAL ACTIVITIES – 000554</t>
    </r>
  </si>
  <si>
    <r>
      <t xml:space="preserve">I have read and acknowledge the </t>
    </r>
    <r>
      <rPr>
        <i/>
        <sz val="10"/>
        <color theme="1"/>
        <rFont val="Gill Sans MT"/>
        <family val="2"/>
      </rPr>
      <t>PROJECT AND CONSULTANCY PROCEDURE</t>
    </r>
  </si>
  <si>
    <t>I declare that the nature of the consultancy has been reviewed and confirm that it is not contract research, philanthropy or excluded student load under the procedure and that any surplus generated from the work performed is not required to be repaid to the funding body.</t>
  </si>
  <si>
    <t>Responsible Officer (Owner)</t>
  </si>
  <si>
    <t>Name</t>
  </si>
  <si>
    <t>Position</t>
  </si>
  <si>
    <t>Date</t>
  </si>
  <si>
    <t>Signature</t>
  </si>
  <si>
    <t>Approvals Required</t>
  </si>
  <si>
    <t>Finance Business Partner</t>
  </si>
  <si>
    <t>Head of School / Portfolio Associate Director</t>
  </si>
  <si>
    <t>Senior Manager - Finance Business Partners</t>
  </si>
  <si>
    <t>Waiver approval (provided on an exception basis) - note any waived costs must be recovered before any surplus funds are transferred to a staff support account</t>
  </si>
  <si>
    <t>Labour - (Head of School / Pro Vice Chancellor)</t>
  </si>
  <si>
    <t>Indirect Costs - (Chief Financial Officer)</t>
  </si>
  <si>
    <t>Generation of deficit - (Pro Vice Chancellor of College)</t>
  </si>
  <si>
    <t>Scope and scale of the activity, and a brief description.</t>
  </si>
  <si>
    <t>Whether the activity is a ‘one-off' event, for a specified duration, or is ongoing.</t>
  </si>
  <si>
    <t>Funding body type (drives indirect cost rate applied)</t>
  </si>
  <si>
    <t>Not For Profit Non Government </t>
  </si>
  <si>
    <t>Target Surplus Margin</t>
  </si>
  <si>
    <t>Details of all third party(ies).</t>
  </si>
  <si>
    <t>Details of reporting required in relation to the activity (e.g. acquittals required)</t>
  </si>
  <si>
    <t>How do you determine the amount to be charged for the activity, and is it generally a “fixed and firm” quotation to the customer? What contingencies do you have should more resources be required to complete the engagement?</t>
  </si>
  <si>
    <t>Have you conisdered the existing workload commitment of participating staff and the additional commitment required?</t>
  </si>
  <si>
    <t>Will you be seeking any waivers under the project and consultancy guideline? If so which ones? Please note the approval requirements associated with each.</t>
  </si>
  <si>
    <t>In the event a surplus is generated after the actual costs and revenues of the project are determined, will the funds transfer to a staff support account or Institute? If a staff support account will the balance of that account then exceed $50,000?</t>
  </si>
  <si>
    <t>Charge Rate</t>
  </si>
  <si>
    <t>Units/Hours</t>
  </si>
  <si>
    <t>Consultancy Charge</t>
  </si>
  <si>
    <t>Total Revenue</t>
  </si>
  <si>
    <t>Salary Costs - The School is entitled to recover the labour hours of academic staff at the Academic C Step 4 rate and this must be considered in the pricing of the project and in the calculation of project surplus</t>
  </si>
  <si>
    <t>Named Resource</t>
  </si>
  <si>
    <t>Employment Type (e.g. FTC, Casual, Continuting)</t>
  </si>
  <si>
    <t>School</t>
  </si>
  <si>
    <t>Level</t>
  </si>
  <si>
    <t>Hourly Rate</t>
  </si>
  <si>
    <t>Estimated Hours To Complete</t>
  </si>
  <si>
    <t>Contract Cost</t>
  </si>
  <si>
    <t>Labour Recovery to School 
(ACA C * Hours)</t>
  </si>
  <si>
    <t>Senior Lecturer</t>
  </si>
  <si>
    <t>Jane Citizen</t>
  </si>
  <si>
    <t>Continuing</t>
  </si>
  <si>
    <t>Level D04</t>
  </si>
  <si>
    <t>Fixed Term</t>
  </si>
  <si>
    <t>Total Salary Costs</t>
  </si>
  <si>
    <t>Non-Salary Costs</t>
  </si>
  <si>
    <t>Other Expenditure</t>
  </si>
  <si>
    <t>Brief Description</t>
  </si>
  <si>
    <t>Consumables</t>
  </si>
  <si>
    <t>Lab Consumables</t>
  </si>
  <si>
    <t>Central Analytics Facility:</t>
  </si>
  <si>
    <t>Equipment Type</t>
  </si>
  <si>
    <t>Usage</t>
  </si>
  <si>
    <t>Charge Band</t>
  </si>
  <si>
    <t>Transmission Electron Microscopy</t>
  </si>
  <si>
    <t>Internal DIY</t>
  </si>
  <si>
    <t>Minimum</t>
  </si>
  <si>
    <t>X-ray</t>
  </si>
  <si>
    <t>Internal Full Service</t>
  </si>
  <si>
    <t>Total Equipment Charges</t>
  </si>
  <si>
    <t>Total Non-Salary Costs</t>
  </si>
  <si>
    <t>Corporate Overheads Recovery</t>
  </si>
  <si>
    <t>Sector Range
$/hour</t>
  </si>
  <si>
    <t>Scanning Electron Microscopy</t>
  </si>
  <si>
    <t>Flow Cytometry</t>
  </si>
  <si>
    <t>Mass Spectrometry</t>
  </si>
  <si>
    <t>Advanced Confocal Microscopy</t>
  </si>
  <si>
    <t>$10*</t>
  </si>
  <si>
    <t xml:space="preserve">Maximum </t>
  </si>
  <si>
    <t>Average</t>
  </si>
  <si>
    <t>Commercial Rate</t>
  </si>
  <si>
    <t>University of Newcastle Business Case Template</t>
  </si>
  <si>
    <t>Lookups</t>
  </si>
  <si>
    <t>USAGE_TYPE</t>
  </si>
  <si>
    <t>CHG_TYPE</t>
  </si>
  <si>
    <t>EQUIP_TYPE</t>
  </si>
  <si>
    <t>Funding Body</t>
  </si>
  <si>
    <t>Employment Type</t>
  </si>
  <si>
    <t xml:space="preserve">Indigenous Funding Body </t>
  </si>
  <si>
    <t xml:space="preserve">Corporate and Government </t>
  </si>
  <si>
    <t>Casual</t>
  </si>
  <si>
    <t>Externally contracted</t>
  </si>
  <si>
    <t>General Assumptions</t>
  </si>
  <si>
    <t>Overhead Absorption Rate</t>
  </si>
  <si>
    <t xml:space="preserve">Contribution Margin </t>
  </si>
  <si>
    <t>Base Salary Assumptions</t>
  </si>
  <si>
    <t>Can this column now be removed? Duplicated in Financial Assumptions tab</t>
  </si>
  <si>
    <t>Salary_Level</t>
  </si>
  <si>
    <t>Payroll Tax</t>
  </si>
  <si>
    <t>Annual Loading (4 Weeks)</t>
  </si>
  <si>
    <t>Workers Comp</t>
  </si>
  <si>
    <t>Long Service Leave</t>
  </si>
  <si>
    <t>Parental Leave</t>
  </si>
  <si>
    <t>Super</t>
  </si>
  <si>
    <t>Payroll Tax on Super</t>
  </si>
  <si>
    <t>$ Salary Incl. On Costs</t>
  </si>
  <si>
    <t>Overhead Asborption</t>
  </si>
  <si>
    <t>Annual</t>
  </si>
  <si>
    <t>Margin</t>
  </si>
  <si>
    <t>Month</t>
  </si>
  <si>
    <t>Week</t>
  </si>
  <si>
    <t>Day</t>
  </si>
  <si>
    <t>Hour</t>
  </si>
  <si>
    <t>HEW0101</t>
  </si>
  <si>
    <t>HEW0102</t>
  </si>
  <si>
    <t>HEW0103</t>
  </si>
  <si>
    <t>HEW0104</t>
  </si>
  <si>
    <t>HEW0201</t>
  </si>
  <si>
    <t>HEW0202</t>
  </si>
  <si>
    <t>HEW0203</t>
  </si>
  <si>
    <t>HEW0301</t>
  </si>
  <si>
    <t>HEW0302</t>
  </si>
  <si>
    <t>HEW0303</t>
  </si>
  <si>
    <t>HEW0304</t>
  </si>
  <si>
    <t>HEW0401</t>
  </si>
  <si>
    <t>HEW0402</t>
  </si>
  <si>
    <t>HEW0403</t>
  </si>
  <si>
    <t>HEW0404</t>
  </si>
  <si>
    <t>HEW0501</t>
  </si>
  <si>
    <t>HEW0502</t>
  </si>
  <si>
    <t>HEW0503</t>
  </si>
  <si>
    <t>HEW0504</t>
  </si>
  <si>
    <t>HEW0505</t>
  </si>
  <si>
    <t>HEW0506</t>
  </si>
  <si>
    <t>HEW0601</t>
  </si>
  <si>
    <t>HEW0602</t>
  </si>
  <si>
    <t>HEW0603</t>
  </si>
  <si>
    <t>HEW0604</t>
  </si>
  <si>
    <t>HEW0701</t>
  </si>
  <si>
    <t>HEW0702</t>
  </si>
  <si>
    <t>HEW0703</t>
  </si>
  <si>
    <t>HEW0704</t>
  </si>
  <si>
    <t>HEW0705</t>
  </si>
  <si>
    <t>HEW0801</t>
  </si>
  <si>
    <t>HEW0802</t>
  </si>
  <si>
    <t>HEW0803</t>
  </si>
  <si>
    <t>HEW0804</t>
  </si>
  <si>
    <t>HEW0805</t>
  </si>
  <si>
    <t>HEW0806</t>
  </si>
  <si>
    <t>HEW0807</t>
  </si>
  <si>
    <t>HEW0901</t>
  </si>
  <si>
    <t>HEW0902</t>
  </si>
  <si>
    <t>HEW0903</t>
  </si>
  <si>
    <t>HEW0904</t>
  </si>
  <si>
    <t>HEW10</t>
  </si>
  <si>
    <t>HEW10+</t>
  </si>
  <si>
    <t>Level A01</t>
  </si>
  <si>
    <t>Level A02</t>
  </si>
  <si>
    <t>Level A03</t>
  </si>
  <si>
    <t>Level A04</t>
  </si>
  <si>
    <t>Level A05</t>
  </si>
  <si>
    <t>Level A06</t>
  </si>
  <si>
    <t>Level A07</t>
  </si>
  <si>
    <t>Level A08</t>
  </si>
  <si>
    <t>Level B01</t>
  </si>
  <si>
    <t>Level B02</t>
  </si>
  <si>
    <t>Level B03</t>
  </si>
  <si>
    <t>Level B04</t>
  </si>
  <si>
    <t>Level B05</t>
  </si>
  <si>
    <t>Level B06</t>
  </si>
  <si>
    <t>Level C01</t>
  </si>
  <si>
    <t>Level C02</t>
  </si>
  <si>
    <t>Level C03</t>
  </si>
  <si>
    <t>Level C04</t>
  </si>
  <si>
    <t>Level C05</t>
  </si>
  <si>
    <t>Level C06</t>
  </si>
  <si>
    <t>Level D01</t>
  </si>
  <si>
    <t>Level D02</t>
  </si>
  <si>
    <t>Level D03</t>
  </si>
  <si>
    <t>Level E</t>
  </si>
  <si>
    <t>Level E01</t>
  </si>
  <si>
    <t>Level E+01</t>
  </si>
  <si>
    <t>Head Teacher - ELICOS and Learning Support01</t>
  </si>
  <si>
    <t>Head Teacher - ELICOS and Learning Support02</t>
  </si>
  <si>
    <t>Head Teacher - ELICOS and Learning Support03</t>
  </si>
  <si>
    <t>ELICOS and Learning Support Teacher01</t>
  </si>
  <si>
    <t>ELICOS and Learning Support Teacher02</t>
  </si>
  <si>
    <t>ELICOS and Learning Support Teacher03</t>
  </si>
  <si>
    <t>ELICOS and Learning Support Teacher04</t>
  </si>
  <si>
    <t>ELICOS and Learning Support Teacher05</t>
  </si>
  <si>
    <t>ELICOS and Learning Support Teacher06</t>
  </si>
  <si>
    <t>ELICOS and Learning Support Teacher07</t>
  </si>
  <si>
    <t>ELICOS and Learning Support Teacher08</t>
  </si>
  <si>
    <t>ELICOS and Learning Support Teacher09</t>
  </si>
  <si>
    <t>ELICOS and Learning Support Teacher010</t>
  </si>
  <si>
    <t>Head Teacher - International Foundation and Newstep01</t>
  </si>
  <si>
    <t>Head Teacher - International Foundation and Newstep02</t>
  </si>
  <si>
    <t>Head Teacher - International Foundation and Newstep03</t>
  </si>
  <si>
    <t>International Foundation and Newstep Teacher01</t>
  </si>
  <si>
    <t>International Foundation and Newstep Teacher02</t>
  </si>
  <si>
    <t>International Foundation and Newstep Teacher03</t>
  </si>
  <si>
    <t>International Foundation and Newstep Teacher04</t>
  </si>
  <si>
    <t>International Foundation and Newstep Teacher05</t>
  </si>
  <si>
    <t>International Foundation and Newstep Teacher06</t>
  </si>
  <si>
    <t>International Foundation and Newstep Teacher07</t>
  </si>
  <si>
    <t>International Foundation and Newstep Teacher08</t>
  </si>
  <si>
    <t>International Foundation and Newstep Teacher09</t>
  </si>
  <si>
    <t>Security Supervisor Hew 0501</t>
  </si>
  <si>
    <t>Security Supervisor Hew 0502</t>
  </si>
  <si>
    <t>Security Supervisor Hew 0503</t>
  </si>
  <si>
    <t>Security Supervisor Hew 0504</t>
  </si>
  <si>
    <t>Security Supervisor Hew 0505</t>
  </si>
  <si>
    <t>Security Supervisor Hew 0506</t>
  </si>
  <si>
    <t>Apprentice01</t>
  </si>
  <si>
    <t>Apprentice02</t>
  </si>
  <si>
    <t>Apprentice03</t>
  </si>
  <si>
    <t>Apprentice04</t>
  </si>
  <si>
    <t>Adult Apprentice01</t>
  </si>
  <si>
    <t>Adult Apprentice02</t>
  </si>
  <si>
    <t>Adult Apprentice03</t>
  </si>
  <si>
    <t>Adult Apprentice04</t>
  </si>
  <si>
    <t>ARC Future Fellowships01</t>
  </si>
  <si>
    <t>ARC Future Fellowships02</t>
  </si>
  <si>
    <t>ARC Future Fellowships03</t>
  </si>
  <si>
    <t>ARC Discovery Early Career Resch01</t>
  </si>
  <si>
    <t>ARC Discovery Early Career Resch</t>
  </si>
  <si>
    <t>ARC - Discovery Indigenous Award03</t>
  </si>
  <si>
    <t>National Training Wage Level A Year 12</t>
  </si>
  <si>
    <t>L1 - Casual Lecture - Specialised</t>
  </si>
  <si>
    <t>L2 - Casual Lecture - Developed</t>
  </si>
  <si>
    <t>L3 - Casual Lecture - Basic</t>
  </si>
  <si>
    <t>L4 - Casual Lecture - Repeat</t>
  </si>
  <si>
    <t>M1 - Marking - Academic Judgement</t>
  </si>
  <si>
    <t>M2 - Marking - Standard-sub co-ord</t>
  </si>
  <si>
    <t>M3 - Marking - Standard</t>
  </si>
  <si>
    <t>N1 - Casual Nurse Lecture Limited Preparation</t>
  </si>
  <si>
    <t>N2 - Casual Nurse Lecture Normal Preparation</t>
  </si>
  <si>
    <t>N3 - Casual Nurse Lect Repeat Ltd prep subco</t>
  </si>
  <si>
    <t>N4 - Casual Nurse Lect Normal Sub. Co-ord.</t>
  </si>
  <si>
    <t>OTHER - Other Academic Activity</t>
  </si>
  <si>
    <t>OTHR1 - Other Ac. Activity-sub co-ord.</t>
  </si>
  <si>
    <t>T1 - Casual Tutor</t>
  </si>
  <si>
    <t>T2 - Casual Tutor Sub. Co-ord.</t>
  </si>
  <si>
    <t>T3 - Casual Tutor Repeat Tutorial</t>
  </si>
  <si>
    <t>T4 - Casual Tutor Repeat Tut. Sub. Co-ord.</t>
  </si>
  <si>
    <t>F12 - Session Teachers EPU</t>
  </si>
  <si>
    <t>F13 - Casual Hourly EPU rate</t>
  </si>
  <si>
    <t>M5 - NT Music Teacher  - Tuition Rate</t>
  </si>
  <si>
    <t>M7 - NT Music Teacher  - Musical Accompaniment</t>
  </si>
  <si>
    <t>M8 - NT Music Teacher  - Musical Accom and Other Duties</t>
  </si>
  <si>
    <t>M9 - NT Music Teacher  - Other Duties</t>
  </si>
  <si>
    <t>S1 - ELICOS Tch-Casual Teaching Rate</t>
  </si>
  <si>
    <t>S2 - ELICOS Tch-Casual Non Teaching Rate</t>
  </si>
  <si>
    <t>[Spare]</t>
  </si>
  <si>
    <t>Recovery Indicator</t>
  </si>
  <si>
    <t>Overhead Recovery (on total labour costs + non-salary costs)</t>
  </si>
  <si>
    <t>$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</si>
</sst>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_(###0_);\(###0\);_(&quot;-&quot;_)"/>
    <numFmt numFmtId="165" formatCode="_(#,##0.0_);\(#,##0.0\);_(&quot;-&quot;_)"/>
    <numFmt numFmtId="166" formatCode="_(#,##0_);\(#,##0\);_(&quot;-&quot;_)"/>
    <numFmt numFmtId="167" formatCode="_(#,##0.0%_);\(#,##0.0%\);_(&quot;-&quot;_)"/>
    <numFmt numFmtId="168" formatCode="_(#,##0.0\x_);\(#,##0.0\x\);_(&quot;-&quot;_)"/>
    <numFmt numFmtId="169" formatCode="_)d\-mmm\-yy_);_)d\-mmm\-yy_);_)&quot;-&quot;_)"/>
    <numFmt numFmtId="170" formatCode="_-* #,##0_-;\-* #,##0_-;_-* &quot;-&quot;??_-;_-@_-"/>
    <numFmt numFmtId="171" formatCode="0.0%"/>
  </numFmts>
  <fonts count="22" x14ac:knownFonts="1">
    <font>
      <sz val="9"/>
      <color theme="1"/>
      <name val="Gill Sans MT"/>
      <family val="2"/>
    </font>
    <font>
      <b/>
      <sz val="14"/>
      <color theme="1"/>
      <name val="Gill Sans MT"/>
      <family val="2"/>
    </font>
    <font>
      <sz val="9"/>
      <color theme="1"/>
      <name val="Gill Sans MT"/>
      <family val="2"/>
    </font>
    <font>
      <b/>
      <sz val="11"/>
      <color theme="1"/>
      <name val="Gill Sans MT"/>
      <family val="2"/>
    </font>
    <font>
      <sz val="10"/>
      <color theme="1"/>
      <name val="Gill Sans MT"/>
      <family val="2"/>
    </font>
    <font>
      <b/>
      <sz val="12"/>
      <color theme="1"/>
      <name val="Gill Sans MT"/>
      <family val="2"/>
    </font>
    <font>
      <b/>
      <sz val="10"/>
      <color theme="1"/>
      <name val="Gill Sans MT"/>
      <family val="2"/>
    </font>
    <font>
      <b/>
      <sz val="9"/>
      <color theme="1"/>
      <name val="Gill Sans MT"/>
      <family val="2"/>
    </font>
    <font>
      <sz val="10"/>
      <color theme="1"/>
      <name val="Arial"/>
      <family val="2"/>
    </font>
    <font>
      <b/>
      <sz val="12"/>
      <color theme="1"/>
      <name val="Arial"/>
      <family val="2"/>
    </font>
    <font>
      <b/>
      <sz val="10"/>
      <color theme="1"/>
      <name val="Arial"/>
      <family val="2"/>
    </font>
    <font>
      <u/>
      <sz val="9"/>
      <color theme="10"/>
      <name val="Gill Sans MT"/>
      <family val="2"/>
    </font>
    <font>
      <i/>
      <sz val="10"/>
      <color theme="1"/>
      <name val="Gill Sans MT"/>
      <family val="2"/>
    </font>
    <font>
      <b/>
      <sz val="10"/>
      <color rgb="FF000000"/>
      <name val="Calibri"/>
      <family val="2"/>
    </font>
    <font>
      <sz val="10"/>
      <color rgb="FF000000"/>
      <name val="Calibri"/>
      <family val="2"/>
    </font>
    <font>
      <sz val="10"/>
      <color theme="0"/>
      <name val="Arial"/>
      <family val="2"/>
    </font>
    <font>
      <i/>
      <sz val="10"/>
      <color theme="1"/>
      <name val="Arial"/>
      <family val="2"/>
    </font>
    <font>
      <sz val="10"/>
      <name val="Arial"/>
      <family val="2"/>
    </font>
    <font>
      <b/>
      <sz val="10"/>
      <color rgb="FFFF0000"/>
      <name val="Arial"/>
      <family val="2"/>
    </font>
    <font>
      <sz val="9"/>
      <color rgb="FFFF0000"/>
      <name val="Gill Sans MT"/>
      <family val="2"/>
    </font>
    <font>
      <sz val="10"/>
      <color rgb="FFFF0000"/>
      <name val="Arial"/>
      <family val="2"/>
    </font>
    <font>
      <i/>
      <sz val="10"/>
      <color rgb="FFFF0000"/>
      <name val="Arial"/>
      <family val="2"/>
    </font>
  </fonts>
  <fills count="10">
    <fill>
      <patternFill patternType="none"/>
    </fill>
    <fill>
      <patternFill patternType="gray125"/>
    </fill>
    <fill>
      <patternFill patternType="solid">
        <fgColor theme="4" tint="0.79998168889431442"/>
        <bgColor indexed="64"/>
      </patternFill>
    </fill>
    <fill>
      <patternFill patternType="lightDown">
        <fgColor theme="0" tint="-0.24994659260841701"/>
        <bgColor indexed="65"/>
      </patternFill>
    </fill>
    <fill>
      <patternFill patternType="solid">
        <fgColor theme="4" tint="0.59999389629810485"/>
        <bgColor indexed="64"/>
      </patternFill>
    </fill>
    <fill>
      <patternFill patternType="solid">
        <fgColor theme="0" tint="-0.14999847407452621"/>
        <bgColor indexed="64"/>
      </patternFill>
    </fill>
    <fill>
      <patternFill patternType="solid">
        <fgColor rgb="FF4472C4"/>
        <bgColor indexed="64"/>
      </patternFill>
    </fill>
    <fill>
      <patternFill patternType="solid">
        <fgColor rgb="FFDDEBF7"/>
        <bgColor indexed="64"/>
      </patternFill>
    </fill>
    <fill>
      <patternFill patternType="solid">
        <fgColor rgb="FFFFFF00"/>
        <bgColor indexed="64"/>
      </patternFill>
    </fill>
    <fill>
      <patternFill patternType="solid">
        <fgColor rgb="FFD0CECE"/>
        <bgColor indexed="64"/>
      </patternFill>
    </fill>
  </fills>
  <borders count="48">
    <border>
      <left/>
      <right/>
      <top/>
      <bottom/>
      <diagonal/>
    </border>
    <border>
      <left style="thin">
        <color theme="4"/>
      </left>
      <right style="thin">
        <color theme="4"/>
      </right>
      <top style="thin">
        <color theme="4"/>
      </top>
      <bottom style="thin">
        <color theme="4"/>
      </bottom>
      <diagonal/>
    </border>
    <border>
      <left/>
      <right/>
      <top style="thin">
        <color auto="1"/>
      </top>
      <bottom/>
      <diagonal/>
    </border>
    <border>
      <left/>
      <right/>
      <top style="thin">
        <color auto="1"/>
      </top>
      <bottom style="thin">
        <color auto="1"/>
      </bottom>
      <diagonal/>
    </border>
    <border>
      <left/>
      <right/>
      <top style="thin">
        <color auto="1"/>
      </top>
      <bottom style="double">
        <color auto="1"/>
      </bottom>
      <diagonal/>
    </border>
    <border>
      <left style="thin">
        <color theme="0"/>
      </left>
      <right style="thin">
        <color theme="0"/>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24">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alignment horizontal="left" vertical="center"/>
    </xf>
    <xf numFmtId="0" fontId="3" fillId="0" borderId="0">
      <alignment horizontal="left" vertical="center"/>
    </xf>
    <xf numFmtId="164" fontId="4" fillId="2" borderId="1">
      <alignment horizontal="left" vertical="center"/>
      <protection locked="0"/>
    </xf>
    <xf numFmtId="164" fontId="5" fillId="0" borderId="0">
      <alignment horizontal="left" vertical="center"/>
    </xf>
    <xf numFmtId="164" fontId="4" fillId="0" borderId="0">
      <alignment horizontal="left" vertical="center"/>
    </xf>
    <xf numFmtId="164" fontId="6" fillId="0" borderId="0">
      <alignment horizontal="left" vertical="center"/>
    </xf>
    <xf numFmtId="165" fontId="4" fillId="2" borderId="1">
      <alignment horizontal="right" vertical="center"/>
      <protection locked="0"/>
    </xf>
    <xf numFmtId="167" fontId="4" fillId="2" borderId="1">
      <alignment horizontal="right" vertical="center"/>
      <protection locked="0"/>
    </xf>
    <xf numFmtId="168" fontId="4" fillId="2" borderId="1">
      <alignment horizontal="right" vertical="center"/>
      <protection locked="0"/>
    </xf>
    <xf numFmtId="169" fontId="4" fillId="2" borderId="1">
      <alignment horizontal="right" vertical="center"/>
      <protection locked="0"/>
    </xf>
    <xf numFmtId="164" fontId="4" fillId="2" borderId="1">
      <alignment horizontal="right" vertical="center"/>
      <protection locked="0"/>
    </xf>
    <xf numFmtId="165" fontId="4" fillId="0" borderId="0">
      <alignment horizontal="right" vertical="center"/>
    </xf>
    <xf numFmtId="167" fontId="4" fillId="0" borderId="0">
      <alignment horizontal="right" vertical="center"/>
    </xf>
    <xf numFmtId="168" fontId="4" fillId="0" borderId="0">
      <alignment horizontal="right" vertical="center"/>
    </xf>
    <xf numFmtId="169" fontId="4" fillId="0" borderId="0">
      <alignment horizontal="right" vertical="center"/>
    </xf>
    <xf numFmtId="164" fontId="4" fillId="0" borderId="0">
      <alignment horizontal="right" vertical="center"/>
    </xf>
    <xf numFmtId="165" fontId="4" fillId="0" borderId="2">
      <alignment horizontal="right" vertical="center"/>
    </xf>
    <xf numFmtId="165" fontId="4" fillId="0" borderId="3">
      <alignment horizontal="right" vertical="center"/>
    </xf>
    <xf numFmtId="165" fontId="4" fillId="0" borderId="4">
      <alignment horizontal="right" vertical="center"/>
    </xf>
    <xf numFmtId="165" fontId="4" fillId="3" borderId="5">
      <alignment horizontal="right" vertical="center"/>
    </xf>
    <xf numFmtId="0" fontId="11" fillId="0" borderId="0" applyNumberFormat="0" applyFill="0" applyBorder="0" applyAlignment="0" applyProtection="0"/>
  </cellStyleXfs>
  <cellXfs count="164">
    <xf numFmtId="0" fontId="0" fillId="0" borderId="0" xfId="0"/>
    <xf numFmtId="0" fontId="1" fillId="0" borderId="0" xfId="3">
      <alignment horizontal="left" vertical="center"/>
    </xf>
    <xf numFmtId="0" fontId="3" fillId="0" borderId="0" xfId="4">
      <alignment horizontal="left" vertical="center"/>
    </xf>
    <xf numFmtId="164" fontId="5" fillId="0" borderId="0" xfId="6">
      <alignment horizontal="left" vertical="center"/>
    </xf>
    <xf numFmtId="0" fontId="0" fillId="4" borderId="7" xfId="0" applyFill="1" applyBorder="1"/>
    <xf numFmtId="0" fontId="8" fillId="0" borderId="0" xfId="0" applyFont="1"/>
    <xf numFmtId="0" fontId="9" fillId="0" borderId="0" xfId="0" applyFont="1"/>
    <xf numFmtId="0" fontId="10" fillId="0" borderId="0" xfId="0" applyFont="1"/>
    <xf numFmtId="0" fontId="10" fillId="0" borderId="0" xfId="0" applyFont="1" applyAlignment="1">
      <alignment horizontal="left" vertical="top"/>
    </xf>
    <xf numFmtId="0" fontId="10" fillId="4" borderId="18"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19" xfId="0" applyFont="1" applyFill="1" applyBorder="1" applyAlignment="1">
      <alignment horizontal="right" vertical="top" wrapText="1"/>
    </xf>
    <xf numFmtId="0" fontId="10" fillId="4" borderId="20" xfId="0" applyFont="1" applyFill="1" applyBorder="1" applyAlignment="1">
      <alignment horizontal="right" vertical="top" wrapText="1"/>
    </xf>
    <xf numFmtId="164" fontId="4" fillId="2" borderId="13" xfId="5" applyBorder="1" applyAlignment="1">
      <alignment horizontal="right" vertical="center"/>
      <protection locked="0"/>
    </xf>
    <xf numFmtId="170" fontId="8" fillId="0" borderId="13" xfId="1" applyNumberFormat="1" applyFont="1" applyBorder="1" applyAlignment="1">
      <alignment horizontal="right"/>
    </xf>
    <xf numFmtId="164" fontId="4" fillId="2" borderId="22" xfId="5" applyBorder="1" applyAlignment="1">
      <alignment horizontal="right" vertical="center"/>
      <protection locked="0"/>
    </xf>
    <xf numFmtId="170" fontId="8" fillId="0" borderId="22" xfId="1" applyNumberFormat="1" applyFont="1" applyBorder="1" applyAlignment="1">
      <alignment horizontal="right"/>
    </xf>
    <xf numFmtId="170" fontId="8" fillId="0" borderId="23" xfId="1" applyNumberFormat="1" applyFont="1" applyBorder="1" applyAlignment="1">
      <alignment horizontal="right"/>
    </xf>
    <xf numFmtId="170" fontId="8" fillId="0" borderId="14" xfId="1" applyNumberFormat="1" applyFont="1" applyBorder="1" applyAlignment="1">
      <alignment horizontal="right"/>
    </xf>
    <xf numFmtId="0" fontId="8" fillId="0" borderId="16" xfId="0" applyFont="1" applyBorder="1"/>
    <xf numFmtId="170" fontId="8" fillId="0" borderId="16" xfId="1" applyNumberFormat="1" applyFont="1" applyBorder="1" applyAlignment="1">
      <alignment horizontal="right"/>
    </xf>
    <xf numFmtId="170" fontId="8" fillId="0" borderId="0" xfId="1" applyNumberFormat="1" applyFont="1"/>
    <xf numFmtId="0" fontId="10" fillId="4" borderId="18" xfId="0" applyFont="1" applyFill="1" applyBorder="1"/>
    <xf numFmtId="0" fontId="10" fillId="4" borderId="19" xfId="0" applyFont="1" applyFill="1" applyBorder="1"/>
    <xf numFmtId="170" fontId="8" fillId="0" borderId="23" xfId="1" applyNumberFormat="1" applyFont="1" applyBorder="1"/>
    <xf numFmtId="170" fontId="8" fillId="0" borderId="14" xfId="1" applyNumberFormat="1" applyFont="1" applyBorder="1"/>
    <xf numFmtId="0" fontId="10" fillId="0" borderId="15" xfId="0" applyFont="1" applyBorder="1"/>
    <xf numFmtId="170" fontId="10" fillId="0" borderId="16" xfId="1" applyNumberFormat="1" applyFont="1" applyBorder="1"/>
    <xf numFmtId="170" fontId="10" fillId="0" borderId="24" xfId="1" applyNumberFormat="1" applyFont="1" applyBorder="1" applyAlignment="1">
      <alignment horizontal="right"/>
    </xf>
    <xf numFmtId="170" fontId="10" fillId="0" borderId="24" xfId="1" applyNumberFormat="1" applyFont="1" applyBorder="1"/>
    <xf numFmtId="0" fontId="10" fillId="0" borderId="25" xfId="0" applyFont="1" applyBorder="1" applyAlignment="1">
      <alignment horizontal="right"/>
    </xf>
    <xf numFmtId="166" fontId="4" fillId="2" borderId="13" xfId="9" applyNumberFormat="1" applyBorder="1">
      <alignment horizontal="right" vertical="center"/>
      <protection locked="0"/>
    </xf>
    <xf numFmtId="166" fontId="4" fillId="0" borderId="13" xfId="14" applyNumberFormat="1" applyBorder="1">
      <alignment horizontal="right" vertical="center"/>
    </xf>
    <xf numFmtId="170" fontId="0" fillId="0" borderId="13" xfId="1" applyNumberFormat="1" applyFont="1" applyBorder="1"/>
    <xf numFmtId="43" fontId="0" fillId="0" borderId="13" xfId="1" applyFont="1" applyBorder="1"/>
    <xf numFmtId="164" fontId="4" fillId="0" borderId="12" xfId="7" applyBorder="1">
      <alignment horizontal="left" vertical="center"/>
    </xf>
    <xf numFmtId="170" fontId="0" fillId="0" borderId="14" xfId="1" applyNumberFormat="1" applyFont="1" applyBorder="1"/>
    <xf numFmtId="164" fontId="4" fillId="0" borderId="15" xfId="7" applyBorder="1">
      <alignment horizontal="left" vertical="center"/>
    </xf>
    <xf numFmtId="166" fontId="4" fillId="2" borderId="16" xfId="9" applyNumberFormat="1" applyBorder="1">
      <alignment horizontal="right" vertical="center"/>
      <protection locked="0"/>
    </xf>
    <xf numFmtId="166" fontId="4" fillId="0" borderId="16" xfId="14" applyNumberFormat="1" applyBorder="1">
      <alignment horizontal="right" vertical="center"/>
    </xf>
    <xf numFmtId="170" fontId="0" fillId="0" borderId="16" xfId="1" applyNumberFormat="1" applyFont="1" applyBorder="1"/>
    <xf numFmtId="43" fontId="0" fillId="0" borderId="16" xfId="1" applyFont="1" applyBorder="1"/>
    <xf numFmtId="170" fontId="0" fillId="0" borderId="17" xfId="1" applyNumberFormat="1" applyFont="1" applyBorder="1"/>
    <xf numFmtId="164" fontId="4" fillId="0" borderId="9" xfId="7" applyBorder="1">
      <alignment horizontal="left" vertical="center"/>
    </xf>
    <xf numFmtId="166" fontId="4" fillId="2" borderId="10" xfId="9" applyNumberFormat="1" applyBorder="1">
      <alignment horizontal="right" vertical="center"/>
      <protection locked="0"/>
    </xf>
    <xf numFmtId="166" fontId="4" fillId="0" borderId="10" xfId="14" applyNumberFormat="1" applyBorder="1">
      <alignment horizontal="right" vertical="center"/>
    </xf>
    <xf numFmtId="170" fontId="0" fillId="0" borderId="10" xfId="1" applyNumberFormat="1" applyFont="1" applyBorder="1"/>
    <xf numFmtId="43" fontId="0" fillId="0" borderId="10" xfId="1" applyFont="1" applyBorder="1"/>
    <xf numFmtId="170" fontId="0" fillId="0" borderId="11" xfId="1" applyNumberFormat="1" applyFont="1" applyBorder="1"/>
    <xf numFmtId="164" fontId="6" fillId="4" borderId="6" xfId="8" applyFill="1" applyBorder="1" applyAlignment="1">
      <alignment horizontal="left" vertical="top"/>
    </xf>
    <xf numFmtId="164" fontId="6" fillId="4" borderId="7" xfId="8" applyFill="1" applyBorder="1" applyAlignment="1">
      <alignment horizontal="right" vertical="top" wrapText="1"/>
    </xf>
    <xf numFmtId="164" fontId="6" fillId="4" borderId="26" xfId="8" applyFill="1" applyBorder="1" applyAlignment="1">
      <alignment horizontal="right" vertical="top" wrapText="1"/>
    </xf>
    <xf numFmtId="0" fontId="7" fillId="4" borderId="26" xfId="0" applyFont="1" applyFill="1" applyBorder="1" applyAlignment="1">
      <alignment horizontal="right" vertical="top"/>
    </xf>
    <xf numFmtId="0" fontId="7" fillId="4" borderId="27" xfId="0" applyFont="1" applyFill="1" applyBorder="1" applyAlignment="1">
      <alignment horizontal="right" vertical="top"/>
    </xf>
    <xf numFmtId="167" fontId="4" fillId="4" borderId="6" xfId="10" applyFill="1" applyBorder="1">
      <alignment horizontal="right" vertical="center"/>
      <protection locked="0"/>
    </xf>
    <xf numFmtId="167" fontId="4" fillId="4" borderId="7" xfId="10" applyFill="1" applyBorder="1">
      <alignment horizontal="right" vertical="center"/>
      <protection locked="0"/>
    </xf>
    <xf numFmtId="43" fontId="0" fillId="4" borderId="7" xfId="1" applyFont="1" applyFill="1" applyBorder="1"/>
    <xf numFmtId="0" fontId="0" fillId="4" borderId="8" xfId="0" applyFill="1" applyBorder="1"/>
    <xf numFmtId="164" fontId="4" fillId="0" borderId="0" xfId="7">
      <alignment horizontal="left" vertical="center"/>
    </xf>
    <xf numFmtId="164" fontId="4" fillId="2" borderId="1" xfId="5">
      <alignment horizontal="left" vertical="center"/>
      <protection locked="0"/>
    </xf>
    <xf numFmtId="0" fontId="11" fillId="0" borderId="0" xfId="23"/>
    <xf numFmtId="164" fontId="6" fillId="0" borderId="0" xfId="8">
      <alignment horizontal="left" vertical="center"/>
    </xf>
    <xf numFmtId="165" fontId="4" fillId="2" borderId="1" xfId="9">
      <alignment horizontal="right" vertical="center"/>
      <protection locked="0"/>
    </xf>
    <xf numFmtId="0" fontId="8" fillId="0" borderId="0" xfId="0" applyFont="1" applyAlignment="1">
      <alignment wrapText="1"/>
    </xf>
    <xf numFmtId="164" fontId="4" fillId="2" borderId="1" xfId="5" applyAlignment="1">
      <alignment horizontal="left" vertical="center" wrapText="1"/>
      <protection locked="0"/>
    </xf>
    <xf numFmtId="169" fontId="4" fillId="2" borderId="1" xfId="12">
      <alignment horizontal="right" vertical="center"/>
      <protection locked="0"/>
    </xf>
    <xf numFmtId="0" fontId="11" fillId="0" borderId="0" xfId="23" quotePrefix="1"/>
    <xf numFmtId="164" fontId="4" fillId="0" borderId="0" xfId="5" applyFill="1" applyBorder="1">
      <alignment horizontal="left" vertical="center"/>
      <protection locked="0"/>
    </xf>
    <xf numFmtId="170" fontId="8" fillId="0" borderId="0" xfId="1" applyNumberFormat="1" applyFont="1" applyBorder="1"/>
    <xf numFmtId="164" fontId="4" fillId="0" borderId="16" xfId="5" applyFill="1" applyBorder="1" applyAlignment="1">
      <alignment horizontal="right" vertical="center"/>
      <protection locked="0"/>
    </xf>
    <xf numFmtId="0" fontId="8" fillId="2" borderId="21" xfId="0" applyFont="1" applyFill="1" applyBorder="1"/>
    <xf numFmtId="0" fontId="8" fillId="2" borderId="22" xfId="0" applyFont="1" applyFill="1" applyBorder="1"/>
    <xf numFmtId="0" fontId="8" fillId="2" borderId="12" xfId="0" applyFont="1" applyFill="1" applyBorder="1"/>
    <xf numFmtId="0" fontId="8" fillId="2" borderId="13" xfId="0" applyFont="1" applyFill="1" applyBorder="1"/>
    <xf numFmtId="0" fontId="8" fillId="2" borderId="22" xfId="0" applyFont="1" applyFill="1" applyBorder="1" applyAlignment="1">
      <alignment horizontal="right"/>
    </xf>
    <xf numFmtId="0" fontId="8" fillId="2" borderId="13" xfId="0" applyFont="1" applyFill="1" applyBorder="1" applyAlignment="1">
      <alignment horizontal="right"/>
    </xf>
    <xf numFmtId="170" fontId="8" fillId="2" borderId="22" xfId="1" applyNumberFormat="1" applyFont="1" applyFill="1" applyBorder="1"/>
    <xf numFmtId="170" fontId="8" fillId="2" borderId="13" xfId="1" applyNumberFormat="1" applyFont="1" applyFill="1" applyBorder="1"/>
    <xf numFmtId="0" fontId="7" fillId="5" borderId="18" xfId="0" applyFont="1" applyFill="1" applyBorder="1"/>
    <xf numFmtId="0" fontId="0" fillId="5" borderId="20" xfId="0" applyFill="1" applyBorder="1"/>
    <xf numFmtId="0" fontId="8" fillId="5" borderId="28" xfId="0" applyFont="1" applyFill="1" applyBorder="1"/>
    <xf numFmtId="9" fontId="0" fillId="5" borderId="29" xfId="0" applyNumberFormat="1" applyFill="1" applyBorder="1"/>
    <xf numFmtId="10" fontId="0" fillId="5" borderId="29" xfId="0" applyNumberFormat="1" applyFill="1" applyBorder="1"/>
    <xf numFmtId="0" fontId="8" fillId="5" borderId="30" xfId="0" applyFont="1" applyFill="1" applyBorder="1"/>
    <xf numFmtId="9" fontId="0" fillId="5" borderId="31" xfId="0" applyNumberFormat="1" applyFill="1" applyBorder="1"/>
    <xf numFmtId="171" fontId="8" fillId="5" borderId="0" xfId="0" applyNumberFormat="1" applyFont="1" applyFill="1"/>
    <xf numFmtId="9" fontId="4" fillId="5" borderId="10" xfId="2" applyFont="1" applyFill="1" applyBorder="1" applyAlignment="1">
      <alignment horizontal="right" vertical="center"/>
    </xf>
    <xf numFmtId="9" fontId="8" fillId="4" borderId="0" xfId="0" applyNumberFormat="1" applyFont="1" applyFill="1"/>
    <xf numFmtId="0" fontId="14" fillId="7" borderId="31" xfId="0" applyFont="1" applyFill="1" applyBorder="1" applyAlignment="1">
      <alignment horizontal="center" vertical="center" wrapText="1"/>
    </xf>
    <xf numFmtId="6" fontId="14" fillId="7" borderId="31" xfId="0" applyNumberFormat="1" applyFont="1" applyFill="1" applyBorder="1" applyAlignment="1">
      <alignment horizontal="center" vertical="center" wrapText="1"/>
    </xf>
    <xf numFmtId="0" fontId="14" fillId="0" borderId="31" xfId="0" applyFont="1" applyBorder="1" applyAlignment="1">
      <alignment horizontal="center" vertical="center"/>
    </xf>
    <xf numFmtId="6" fontId="14" fillId="0" borderId="31" xfId="0" applyNumberFormat="1" applyFont="1" applyBorder="1" applyAlignment="1">
      <alignment horizontal="center" vertical="center" wrapText="1"/>
    </xf>
    <xf numFmtId="0" fontId="13" fillId="6" borderId="32" xfId="0" applyFont="1" applyFill="1" applyBorder="1" applyAlignment="1">
      <alignment horizontal="center" vertical="center" wrapText="1"/>
    </xf>
    <xf numFmtId="0" fontId="13" fillId="6" borderId="18" xfId="0" applyFont="1" applyFill="1" applyBorder="1" applyAlignment="1">
      <alignment horizontal="centerContinuous" vertical="center" wrapText="1"/>
    </xf>
    <xf numFmtId="0" fontId="13" fillId="6" borderId="20" xfId="0" applyFont="1" applyFill="1" applyBorder="1" applyAlignment="1">
      <alignment horizontal="centerContinuous" vertical="center" wrapText="1"/>
    </xf>
    <xf numFmtId="0" fontId="8" fillId="2" borderId="9" xfId="0" applyFont="1" applyFill="1" applyBorder="1"/>
    <xf numFmtId="170" fontId="8" fillId="2" borderId="10" xfId="1" applyNumberFormat="1" applyFont="1" applyFill="1" applyBorder="1"/>
    <xf numFmtId="170" fontId="8" fillId="0" borderId="11" xfId="1" applyNumberFormat="1" applyFont="1" applyBorder="1"/>
    <xf numFmtId="0" fontId="10" fillId="4" borderId="37" xfId="0" applyFont="1" applyFill="1" applyBorder="1"/>
    <xf numFmtId="0" fontId="10" fillId="4" borderId="38" xfId="0" applyFont="1" applyFill="1" applyBorder="1"/>
    <xf numFmtId="0" fontId="10" fillId="4" borderId="38" xfId="0" applyFont="1" applyFill="1" applyBorder="1" applyAlignment="1">
      <alignment horizontal="right" vertical="top" wrapText="1"/>
    </xf>
    <xf numFmtId="0" fontId="10" fillId="4" borderId="34" xfId="0" applyFont="1" applyFill="1" applyBorder="1" applyAlignment="1">
      <alignment horizontal="right" vertical="top" wrapText="1"/>
    </xf>
    <xf numFmtId="0" fontId="10" fillId="4" borderId="37"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38" xfId="0" applyFont="1" applyFill="1" applyBorder="1" applyAlignment="1">
      <alignment horizontal="right"/>
    </xf>
    <xf numFmtId="0" fontId="15" fillId="0" borderId="0" xfId="0" applyFont="1"/>
    <xf numFmtId="170" fontId="15" fillId="0" borderId="0" xfId="0" applyNumberFormat="1" applyFont="1"/>
    <xf numFmtId="170" fontId="8" fillId="0" borderId="0" xfId="1" applyNumberFormat="1" applyFont="1" applyFill="1" applyBorder="1"/>
    <xf numFmtId="0" fontId="10" fillId="0" borderId="6" xfId="0" applyFont="1" applyBorder="1"/>
    <xf numFmtId="170" fontId="10" fillId="0" borderId="7" xfId="1" applyNumberFormat="1" applyFont="1" applyBorder="1"/>
    <xf numFmtId="0" fontId="10" fillId="2" borderId="37" xfId="0" applyFont="1" applyFill="1" applyBorder="1"/>
    <xf numFmtId="170" fontId="10" fillId="0" borderId="34" xfId="1" applyNumberFormat="1" applyFont="1" applyBorder="1"/>
    <xf numFmtId="170" fontId="8" fillId="2" borderId="38" xfId="1" applyNumberFormat="1" applyFont="1" applyFill="1" applyBorder="1"/>
    <xf numFmtId="0" fontId="8" fillId="0" borderId="0" xfId="0" applyFont="1" applyAlignment="1">
      <alignment horizontal="left" vertical="center"/>
    </xf>
    <xf numFmtId="9" fontId="4" fillId="2" borderId="1" xfId="2" applyFont="1" applyFill="1" applyBorder="1" applyAlignment="1" applyProtection="1">
      <alignment horizontal="left" vertical="center" wrapText="1"/>
      <protection locked="0"/>
    </xf>
    <xf numFmtId="0" fontId="10" fillId="4" borderId="39" xfId="0" applyFont="1" applyFill="1" applyBorder="1" applyAlignment="1">
      <alignment horizontal="right" vertical="top" wrapText="1"/>
    </xf>
    <xf numFmtId="0" fontId="8" fillId="0" borderId="13" xfId="0" applyFont="1" applyBorder="1"/>
    <xf numFmtId="0" fontId="8" fillId="5" borderId="13" xfId="0" applyFont="1" applyFill="1" applyBorder="1"/>
    <xf numFmtId="0" fontId="10" fillId="0" borderId="13" xfId="0" applyFont="1" applyBorder="1"/>
    <xf numFmtId="0" fontId="8" fillId="0" borderId="21" xfId="0" applyFont="1" applyBorder="1"/>
    <xf numFmtId="0" fontId="8" fillId="0" borderId="22" xfId="0" applyFont="1" applyBorder="1"/>
    <xf numFmtId="0" fontId="8" fillId="0" borderId="12" xfId="0" applyFont="1" applyBorder="1"/>
    <xf numFmtId="0" fontId="8" fillId="5" borderId="12" xfId="0" applyFont="1" applyFill="1" applyBorder="1"/>
    <xf numFmtId="170" fontId="8" fillId="5" borderId="14" xfId="1" applyNumberFormat="1" applyFont="1" applyFill="1" applyBorder="1"/>
    <xf numFmtId="0" fontId="10" fillId="0" borderId="12" xfId="0" applyFont="1" applyBorder="1"/>
    <xf numFmtId="166" fontId="10" fillId="0" borderId="14" xfId="1" applyNumberFormat="1" applyFont="1" applyBorder="1"/>
    <xf numFmtId="0" fontId="16" fillId="0" borderId="15" xfId="0" applyFont="1" applyBorder="1"/>
    <xf numFmtId="9" fontId="16" fillId="0" borderId="17" xfId="2" applyFont="1" applyBorder="1"/>
    <xf numFmtId="170" fontId="17" fillId="0" borderId="0" xfId="0" applyNumberFormat="1" applyFont="1"/>
    <xf numFmtId="0" fontId="18" fillId="0" borderId="0" xfId="0" applyFont="1"/>
    <xf numFmtId="43" fontId="8" fillId="0" borderId="0" xfId="0" applyNumberFormat="1" applyFont="1"/>
    <xf numFmtId="9" fontId="4" fillId="8" borderId="10" xfId="2" applyFont="1" applyFill="1" applyBorder="1" applyAlignment="1">
      <alignment horizontal="right" vertical="center"/>
    </xf>
    <xf numFmtId="0" fontId="19" fillId="8" borderId="0" xfId="0" applyFont="1" applyFill="1"/>
    <xf numFmtId="166" fontId="4" fillId="5" borderId="13" xfId="9" applyNumberFormat="1" applyFill="1" applyBorder="1">
      <alignment horizontal="right" vertical="center"/>
      <protection locked="0"/>
    </xf>
    <xf numFmtId="166" fontId="4" fillId="5" borderId="13" xfId="14" applyNumberFormat="1" applyFill="1" applyBorder="1">
      <alignment horizontal="right" vertical="center"/>
    </xf>
    <xf numFmtId="170" fontId="0" fillId="5" borderId="13" xfId="1" applyNumberFormat="1" applyFont="1" applyFill="1" applyBorder="1"/>
    <xf numFmtId="43" fontId="0" fillId="5" borderId="13" xfId="1" applyFont="1" applyFill="1" applyBorder="1"/>
    <xf numFmtId="170" fontId="8" fillId="2" borderId="42" xfId="1" applyNumberFormat="1" applyFont="1" applyFill="1" applyBorder="1" applyAlignment="1"/>
    <xf numFmtId="170" fontId="8" fillId="2" borderId="3" xfId="1" applyNumberFormat="1" applyFont="1" applyFill="1" applyBorder="1" applyAlignment="1"/>
    <xf numFmtId="170" fontId="8" fillId="2" borderId="40" xfId="1" applyNumberFormat="1" applyFont="1" applyFill="1" applyBorder="1" applyAlignment="1"/>
    <xf numFmtId="170" fontId="8" fillId="2" borderId="41" xfId="1" applyNumberFormat="1" applyFont="1" applyFill="1" applyBorder="1" applyAlignment="1"/>
    <xf numFmtId="0" fontId="8" fillId="0" borderId="43" xfId="0" applyFont="1" applyBorder="1"/>
    <xf numFmtId="0" fontId="8" fillId="0" borderId="44" xfId="0" applyFont="1" applyBorder="1"/>
    <xf numFmtId="9" fontId="8" fillId="0" borderId="0" xfId="0" applyNumberFormat="1" applyFont="1"/>
    <xf numFmtId="0" fontId="7" fillId="9" borderId="45" xfId="0" applyFont="1" applyFill="1" applyBorder="1"/>
    <xf numFmtId="0" fontId="0" fillId="9" borderId="46" xfId="0" applyFill="1" applyBorder="1"/>
    <xf numFmtId="0" fontId="0" fillId="9" borderId="47" xfId="0" applyFill="1" applyBorder="1"/>
    <xf numFmtId="170" fontId="8" fillId="5" borderId="23" xfId="1" applyNumberFormat="1" applyFont="1" applyFill="1" applyBorder="1" applyAlignment="1">
      <alignment horizontal="right"/>
    </xf>
    <xf numFmtId="170" fontId="8" fillId="5" borderId="14" xfId="1" applyNumberFormat="1" applyFont="1" applyFill="1" applyBorder="1" applyAlignment="1">
      <alignment horizontal="right"/>
    </xf>
    <xf numFmtId="170" fontId="10" fillId="5" borderId="24" xfId="1" applyNumberFormat="1" applyFont="1" applyFill="1" applyBorder="1" applyAlignment="1">
      <alignment horizontal="right"/>
    </xf>
    <xf numFmtId="0" fontId="8" fillId="2" borderId="10" xfId="0" applyFont="1" applyFill="1" applyBorder="1"/>
    <xf numFmtId="0" fontId="20" fillId="0" borderId="0" xfId="0" applyFont="1" applyAlignment="1">
      <alignment vertical="center"/>
    </xf>
    <xf numFmtId="0" fontId="21" fillId="0" borderId="0" xfId="0" applyFont="1"/>
    <xf numFmtId="170" fontId="21" fillId="0" borderId="0" xfId="0" applyNumberFormat="1" applyFont="1"/>
    <xf numFmtId="164" fontId="4" fillId="0" borderId="0" xfId="7" applyAlignment="1">
      <alignment horizontal="left" vertical="top" wrapText="1"/>
    </xf>
    <xf numFmtId="164" fontId="6" fillId="0" borderId="0" xfId="8" applyAlignment="1">
      <alignment horizontal="left" vertical="center" wrapText="1"/>
    </xf>
    <xf numFmtId="164" fontId="6" fillId="0" borderId="0" xfId="8" applyAlignment="1">
      <alignment horizontal="left" vertical="top" wrapText="1"/>
    </xf>
    <xf numFmtId="0" fontId="13" fillId="7" borderId="32"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13" fillId="7" borderId="35" xfId="0" applyFont="1" applyFill="1" applyBorder="1" applyAlignment="1">
      <alignment horizontal="center" vertical="center" wrapText="1"/>
    </xf>
    <xf numFmtId="0" fontId="13" fillId="0" borderId="36"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5" xfId="0" applyFont="1" applyBorder="1" applyAlignment="1">
      <alignment horizontal="center" vertical="center" wrapText="1"/>
    </xf>
    <xf numFmtId="0" fontId="13" fillId="7" borderId="36" xfId="0" applyFont="1" applyFill="1" applyBorder="1" applyAlignment="1">
      <alignment horizontal="center" vertical="center" wrapText="1"/>
    </xf>
  </cellXfs>
  <cellStyles count="24">
    <cellStyle name="Comma" xfId="1" builtinId="3"/>
    <cellStyle name="DateAssumption" xfId="12" xr:uid="{00000000-0005-0000-0000-000001000000}"/>
    <cellStyle name="DateOutput" xfId="17" xr:uid="{00000000-0005-0000-0000-000002000000}"/>
    <cellStyle name="HeadingAssumption" xfId="5" xr:uid="{00000000-0005-0000-0000-000003000000}"/>
    <cellStyle name="HeadingBold" xfId="8" xr:uid="{00000000-0005-0000-0000-000004000000}"/>
    <cellStyle name="HeadingSection" xfId="6" xr:uid="{00000000-0005-0000-0000-000005000000}"/>
    <cellStyle name="HeadingSection 2" xfId="4" xr:uid="{00000000-0005-0000-0000-000006000000}"/>
    <cellStyle name="HeadingStandard" xfId="7" xr:uid="{00000000-0005-0000-0000-000007000000}"/>
    <cellStyle name="HeadingTitle" xfId="3" xr:uid="{00000000-0005-0000-0000-000008000000}"/>
    <cellStyle name="Hyperlink" xfId="23" builtinId="8"/>
    <cellStyle name="MultipleAssumption" xfId="11" xr:uid="{00000000-0005-0000-0000-00000A000000}"/>
    <cellStyle name="MultipleOutput" xfId="16" xr:uid="{00000000-0005-0000-0000-00000B000000}"/>
    <cellStyle name="Normal" xfId="0" builtinId="0"/>
    <cellStyle name="NumberAssumption" xfId="9" xr:uid="{00000000-0005-0000-0000-00000D000000}"/>
    <cellStyle name="NumberOutput" xfId="14" xr:uid="{00000000-0005-0000-0000-00000E000000}"/>
    <cellStyle name="Percent" xfId="2" builtinId="5"/>
    <cellStyle name="PercentageAssumption" xfId="10" xr:uid="{00000000-0005-0000-0000-000010000000}"/>
    <cellStyle name="PercentageOutput" xfId="15" xr:uid="{00000000-0005-0000-0000-000011000000}"/>
    <cellStyle name="TotalGrand" xfId="21" xr:uid="{00000000-0005-0000-0000-000012000000}"/>
    <cellStyle name="TotalSub" xfId="20" xr:uid="{00000000-0005-0000-0000-000013000000}"/>
    <cellStyle name="TotalSubSub" xfId="19" xr:uid="{00000000-0005-0000-0000-000014000000}"/>
    <cellStyle name="Void" xfId="22" xr:uid="{00000000-0005-0000-0000-000015000000}"/>
    <cellStyle name="Year Assumption" xfId="13" xr:uid="{00000000-0005-0000-0000-000016000000}"/>
    <cellStyle name="YearOutput" xfId="18"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w984\AppData\Local\Microsoft\Windows\Temporary%20Internet%20Files\Content.Outlook\CDEF4D58\Ratecard%20Template%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entralAssumptions"/>
      <sheetName val="Business_Case_Output"/>
      <sheetName val="Summary_Outputs"/>
      <sheetName val="Option1_Assumptions"/>
      <sheetName val="Option5_Assumptions"/>
      <sheetName val="Option1_Outputs"/>
      <sheetName val="Option5_Outputs"/>
      <sheetName val="Utility_Outputs"/>
      <sheetName val="PeriodAssumptions"/>
      <sheetName val="Calc_Tables"/>
      <sheetName val="Utility_Rates"/>
      <sheetName val="Utility_Useage"/>
      <sheetName val="Contract_Maint"/>
      <sheetName val="Floor_Space"/>
      <sheetName val="ARV"/>
      <sheetName val="API"/>
      <sheetName val="CA"/>
      <sheetName val="LCC"/>
      <sheetName val="FA"/>
      <sheetName val="List_of_Assets"/>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showGridLines="0" tabSelected="1" zoomScale="83" zoomScaleNormal="83" workbookViewId="0">
      <selection activeCell="H24" sqref="H24"/>
    </sheetView>
  </sheetViews>
  <sheetFormatPr defaultColWidth="13.33203125" defaultRowHeight="12.75" x14ac:dyDescent="0.2"/>
  <cols>
    <col min="1" max="3" width="4.33203125" style="5" customWidth="1"/>
    <col min="4" max="4" width="50.33203125" style="5" customWidth="1"/>
    <col min="5" max="5" width="47.5" style="5" customWidth="1"/>
    <col min="6" max="6" width="2" style="5" customWidth="1"/>
    <col min="7" max="7" width="39.33203125" style="5" customWidth="1"/>
    <col min="8" max="8" width="29.5" style="5" customWidth="1"/>
    <col min="9" max="16384" width="13.33203125" style="5"/>
  </cols>
  <sheetData>
    <row r="1" spans="1:5" ht="21.75" x14ac:dyDescent="0.2">
      <c r="A1" s="1" t="s">
        <v>0</v>
      </c>
    </row>
    <row r="2" spans="1:5" ht="17.25" x14ac:dyDescent="0.2">
      <c r="A2" s="2" t="s">
        <v>1</v>
      </c>
    </row>
    <row r="3" spans="1:5" ht="17.25" x14ac:dyDescent="0.2">
      <c r="A3" s="2" t="s">
        <v>2</v>
      </c>
    </row>
    <row r="4" spans="1:5" ht="15.75" x14ac:dyDescent="0.35">
      <c r="A4" s="60" t="s">
        <v>3</v>
      </c>
    </row>
    <row r="9" spans="1:5" ht="19.5" x14ac:dyDescent="0.2">
      <c r="B9" s="3" t="s">
        <v>4</v>
      </c>
    </row>
    <row r="11" spans="1:5" ht="15" x14ac:dyDescent="0.2">
      <c r="D11" s="58" t="s">
        <v>5</v>
      </c>
      <c r="E11" s="59"/>
    </row>
    <row r="12" spans="1:5" ht="15" x14ac:dyDescent="0.2">
      <c r="D12" s="58" t="s">
        <v>6</v>
      </c>
      <c r="E12" s="59"/>
    </row>
    <row r="13" spans="1:5" ht="15" x14ac:dyDescent="0.2">
      <c r="D13" s="58" t="s">
        <v>7</v>
      </c>
      <c r="E13" s="59"/>
    </row>
    <row r="14" spans="1:5" ht="15" x14ac:dyDescent="0.2">
      <c r="D14" s="58" t="s">
        <v>8</v>
      </c>
      <c r="E14" s="59"/>
    </row>
    <row r="15" spans="1:5" ht="15" x14ac:dyDescent="0.2">
      <c r="D15" s="58" t="s">
        <v>9</v>
      </c>
      <c r="E15" s="59"/>
    </row>
    <row r="17" spans="2:5" ht="19.5" x14ac:dyDescent="0.2">
      <c r="B17" s="3" t="s">
        <v>10</v>
      </c>
    </row>
    <row r="18" spans="2:5" ht="15" x14ac:dyDescent="0.2">
      <c r="D18" s="58"/>
    </row>
    <row r="19" spans="2:5" ht="15.75" x14ac:dyDescent="0.35">
      <c r="D19" s="58" t="s">
        <v>11</v>
      </c>
      <c r="E19" s="66" t="s">
        <v>11</v>
      </c>
    </row>
    <row r="20" spans="2:5" ht="15.75" x14ac:dyDescent="0.35">
      <c r="D20" s="58" t="s">
        <v>12</v>
      </c>
      <c r="E20" s="60" t="s">
        <v>12</v>
      </c>
    </row>
    <row r="21" spans="2:5" ht="15.75" x14ac:dyDescent="0.35">
      <c r="D21" s="58" t="s">
        <v>13</v>
      </c>
      <c r="E21" s="60" t="s">
        <v>13</v>
      </c>
    </row>
    <row r="22" spans="2:5" ht="15.75" x14ac:dyDescent="0.35">
      <c r="D22" s="58" t="s">
        <v>14</v>
      </c>
      <c r="E22" s="66" t="s">
        <v>14</v>
      </c>
    </row>
    <row r="25" spans="2:5" ht="19.5" x14ac:dyDescent="0.2">
      <c r="B25" s="3" t="s">
        <v>15</v>
      </c>
    </row>
    <row r="27" spans="2:5" ht="15" x14ac:dyDescent="0.2">
      <c r="D27" s="58" t="s">
        <v>16</v>
      </c>
      <c r="E27" s="62"/>
    </row>
  </sheetData>
  <hyperlinks>
    <hyperlink ref="A4" location="Summary!A1" display="Link to summary" xr:uid="{00000000-0004-0000-0000-000000000000}"/>
    <hyperlink ref="E20" location="Details!A1" display="Details" xr:uid="{00000000-0004-0000-0000-000001000000}"/>
    <hyperlink ref="E21" location="Checklist!A1" display="Checklist" xr:uid="{00000000-0004-0000-0000-000002000000}"/>
    <hyperlink ref="E19" location="'Sign-off'!A1" display="'Sign-off" xr:uid="{00000000-0004-0000-0000-000003000000}"/>
    <hyperlink ref="E22" location="'Financial Assumptions'!A1" display="Financial Assumptions" xr:uid="{00000000-0004-0000-0000-000004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2"/>
  <sheetViews>
    <sheetView showGridLines="0" zoomScale="83" zoomScaleNormal="83" workbookViewId="0">
      <selection activeCell="O30" sqref="O30"/>
    </sheetView>
  </sheetViews>
  <sheetFormatPr defaultColWidth="13.33203125" defaultRowHeight="12.75" x14ac:dyDescent="0.2"/>
  <cols>
    <col min="1" max="3" width="4.33203125" style="5" customWidth="1"/>
    <col min="4" max="4" width="34.6640625" style="5" customWidth="1"/>
    <col min="5" max="5" width="4.33203125" style="5" customWidth="1"/>
    <col min="6" max="6" width="29.6640625" style="5" customWidth="1"/>
    <col min="7" max="7" width="4.33203125" style="5" customWidth="1"/>
    <col min="8" max="8" width="27.33203125" style="5" customWidth="1"/>
    <col min="9" max="9" width="4.33203125" style="5" customWidth="1"/>
    <col min="10" max="10" width="49.33203125" style="5" customWidth="1"/>
    <col min="11" max="11" width="4.33203125" style="5" customWidth="1"/>
    <col min="12" max="16384" width="13.33203125" style="5"/>
  </cols>
  <sheetData>
    <row r="1" spans="1:8" ht="21.75" x14ac:dyDescent="0.2">
      <c r="A1" s="1" t="s">
        <v>0</v>
      </c>
    </row>
    <row r="2" spans="1:8" ht="17.25" x14ac:dyDescent="0.2">
      <c r="A2" s="2" t="s">
        <v>1</v>
      </c>
    </row>
    <row r="3" spans="1:8" ht="17.25" x14ac:dyDescent="0.2">
      <c r="A3" s="2" t="s">
        <v>11</v>
      </c>
    </row>
    <row r="4" spans="1:8" ht="17.25" x14ac:dyDescent="0.2">
      <c r="A4" s="2">
        <f>Summary!Model_Name</f>
        <v>0</v>
      </c>
    </row>
    <row r="5" spans="1:8" ht="15.75" x14ac:dyDescent="0.35">
      <c r="A5" s="60" t="s">
        <v>3</v>
      </c>
    </row>
    <row r="8" spans="1:8" ht="15" x14ac:dyDescent="0.2">
      <c r="B8" s="61" t="s">
        <v>17</v>
      </c>
    </row>
    <row r="9" spans="1:8" ht="13.5" thickBot="1" x14ac:dyDescent="0.25"/>
    <row r="10" spans="1:8" ht="13.5" thickBot="1" x14ac:dyDescent="0.25">
      <c r="D10" s="22" t="s">
        <v>18</v>
      </c>
      <c r="E10" s="23"/>
      <c r="F10" s="115" t="s">
        <v>19</v>
      </c>
    </row>
    <row r="11" spans="1:8" x14ac:dyDescent="0.2">
      <c r="D11" s="119" t="s">
        <v>20</v>
      </c>
      <c r="E11" s="120"/>
      <c r="F11" s="24">
        <f>'Financial Assumptions'!G21</f>
        <v>3320</v>
      </c>
      <c r="G11" s="68"/>
    </row>
    <row r="12" spans="1:8" x14ac:dyDescent="0.2">
      <c r="D12" s="121" t="s">
        <v>21</v>
      </c>
      <c r="E12" s="116"/>
      <c r="F12" s="25">
        <f>'Financial Assumptions'!K36</f>
        <v>1414.195934899001</v>
      </c>
      <c r="G12" s="68"/>
      <c r="H12" s="130"/>
    </row>
    <row r="13" spans="1:8" x14ac:dyDescent="0.2">
      <c r="D13" s="121" t="s">
        <v>22</v>
      </c>
      <c r="E13" s="116"/>
      <c r="F13" s="25">
        <f>'Financial Assumptions'!I61</f>
        <v>420</v>
      </c>
      <c r="G13" s="68"/>
    </row>
    <row r="14" spans="1:8" x14ac:dyDescent="0.2">
      <c r="D14" s="122" t="s">
        <v>23</v>
      </c>
      <c r="E14" s="117"/>
      <c r="F14" s="123">
        <f>'Financial Assumptions'!I65</f>
        <v>320.98428860732514</v>
      </c>
      <c r="G14" s="68"/>
    </row>
    <row r="15" spans="1:8" x14ac:dyDescent="0.2">
      <c r="D15" s="124" t="s">
        <v>24</v>
      </c>
      <c r="E15" s="118"/>
      <c r="F15" s="125">
        <f>F11-F12-F13-F14</f>
        <v>1164.8197764936738</v>
      </c>
      <c r="G15" s="5" t="s">
        <v>25</v>
      </c>
    </row>
    <row r="16" spans="1:8" ht="13.5" thickBot="1" x14ac:dyDescent="0.25">
      <c r="D16" s="126" t="s">
        <v>26</v>
      </c>
      <c r="E16" s="19"/>
      <c r="F16" s="127">
        <f>F15/F11</f>
        <v>0.35084933026917886</v>
      </c>
    </row>
    <row r="18" spans="2:10" ht="15" x14ac:dyDescent="0.2">
      <c r="B18" s="61" t="s">
        <v>27</v>
      </c>
    </row>
    <row r="21" spans="2:10" ht="15" x14ac:dyDescent="0.2">
      <c r="D21" s="58" t="s">
        <v>28</v>
      </c>
      <c r="E21" s="58"/>
    </row>
    <row r="22" spans="2:10" ht="15" x14ac:dyDescent="0.2">
      <c r="D22" s="58" t="s">
        <v>29</v>
      </c>
      <c r="E22" s="58"/>
    </row>
    <row r="23" spans="2:10" ht="15" customHeight="1" x14ac:dyDescent="0.2">
      <c r="D23" s="154" t="s">
        <v>30</v>
      </c>
      <c r="E23" s="154"/>
      <c r="F23" s="154"/>
      <c r="G23" s="154"/>
      <c r="H23" s="154"/>
      <c r="I23" s="154"/>
      <c r="J23" s="154"/>
    </row>
    <row r="24" spans="2:10" ht="15" customHeight="1" x14ac:dyDescent="0.2">
      <c r="D24" s="154"/>
      <c r="E24" s="154"/>
      <c r="F24" s="154"/>
      <c r="G24" s="154"/>
      <c r="H24" s="154"/>
      <c r="I24" s="154"/>
      <c r="J24" s="154"/>
    </row>
    <row r="26" spans="2:10" ht="15" x14ac:dyDescent="0.2">
      <c r="D26" s="61" t="s">
        <v>31</v>
      </c>
      <c r="E26" s="61"/>
    </row>
    <row r="27" spans="2:10" ht="15" x14ac:dyDescent="0.2">
      <c r="D27" s="58" t="s">
        <v>32</v>
      </c>
      <c r="E27" s="58"/>
      <c r="F27" s="5" t="s">
        <v>33</v>
      </c>
      <c r="H27" s="58" t="s">
        <v>34</v>
      </c>
      <c r="I27" s="58"/>
      <c r="J27" s="58" t="s">
        <v>35</v>
      </c>
    </row>
    <row r="28" spans="2:10" ht="15" x14ac:dyDescent="0.2">
      <c r="D28" s="59"/>
      <c r="E28" s="67"/>
      <c r="F28" s="59"/>
      <c r="H28" s="65"/>
      <c r="I28" s="58"/>
      <c r="J28" s="59"/>
    </row>
    <row r="32" spans="2:10" ht="15" x14ac:dyDescent="0.2">
      <c r="B32" s="61" t="s">
        <v>36</v>
      </c>
    </row>
    <row r="33" spans="2:10" ht="15" x14ac:dyDescent="0.2">
      <c r="B33" s="61"/>
    </row>
    <row r="35" spans="2:10" ht="15" x14ac:dyDescent="0.2">
      <c r="D35" s="61" t="s">
        <v>37</v>
      </c>
      <c r="E35" s="61"/>
    </row>
    <row r="36" spans="2:10" ht="15" x14ac:dyDescent="0.2">
      <c r="D36" s="58" t="s">
        <v>32</v>
      </c>
      <c r="E36" s="58"/>
      <c r="F36" s="58" t="s">
        <v>33</v>
      </c>
      <c r="G36" s="58"/>
      <c r="H36" s="58" t="s">
        <v>34</v>
      </c>
      <c r="I36" s="58"/>
      <c r="J36" s="58" t="s">
        <v>35</v>
      </c>
    </row>
    <row r="37" spans="2:10" ht="15" x14ac:dyDescent="0.2">
      <c r="D37" s="59"/>
      <c r="E37" s="67"/>
      <c r="F37" s="59"/>
      <c r="H37" s="65"/>
      <c r="I37" s="58"/>
      <c r="J37" s="59"/>
    </row>
    <row r="40" spans="2:10" ht="15" x14ac:dyDescent="0.2">
      <c r="D40" s="61" t="s">
        <v>38</v>
      </c>
      <c r="E40" s="61"/>
    </row>
    <row r="41" spans="2:10" ht="15" x14ac:dyDescent="0.2">
      <c r="D41" s="58" t="s">
        <v>32</v>
      </c>
      <c r="E41" s="58"/>
      <c r="F41" s="58" t="s">
        <v>33</v>
      </c>
      <c r="G41" s="58"/>
      <c r="H41" s="58" t="s">
        <v>34</v>
      </c>
      <c r="I41" s="58"/>
      <c r="J41" s="58" t="s">
        <v>35</v>
      </c>
    </row>
    <row r="42" spans="2:10" ht="15" x14ac:dyDescent="0.2">
      <c r="D42" s="59"/>
      <c r="E42" s="67"/>
      <c r="F42" s="59"/>
      <c r="H42" s="65"/>
      <c r="I42" s="58"/>
      <c r="J42" s="59"/>
    </row>
    <row r="45" spans="2:10" ht="15" x14ac:dyDescent="0.2">
      <c r="D45" s="61" t="s">
        <v>39</v>
      </c>
      <c r="E45" s="61"/>
    </row>
    <row r="46" spans="2:10" ht="15" x14ac:dyDescent="0.2">
      <c r="D46" s="58" t="s">
        <v>32</v>
      </c>
      <c r="E46" s="58"/>
      <c r="F46" s="58" t="s">
        <v>33</v>
      </c>
      <c r="G46" s="58"/>
      <c r="H46" s="58" t="s">
        <v>34</v>
      </c>
      <c r="I46" s="58"/>
      <c r="J46" s="58" t="s">
        <v>35</v>
      </c>
    </row>
    <row r="47" spans="2:10" ht="15" x14ac:dyDescent="0.2">
      <c r="D47" s="59"/>
      <c r="E47" s="67"/>
      <c r="F47" s="59"/>
      <c r="H47" s="65"/>
      <c r="I47" s="58"/>
      <c r="J47" s="59"/>
    </row>
    <row r="50" spans="2:10" x14ac:dyDescent="0.2">
      <c r="B50" s="7" t="s">
        <v>40</v>
      </c>
    </row>
    <row r="52" spans="2:10" x14ac:dyDescent="0.2">
      <c r="D52" s="7" t="s">
        <v>41</v>
      </c>
    </row>
    <row r="53" spans="2:10" ht="15" x14ac:dyDescent="0.2">
      <c r="D53" s="58" t="s">
        <v>32</v>
      </c>
      <c r="E53" s="58"/>
      <c r="F53" s="58" t="s">
        <v>33</v>
      </c>
      <c r="G53" s="58"/>
      <c r="H53" s="58" t="s">
        <v>34</v>
      </c>
      <c r="I53" s="58"/>
      <c r="J53" s="58" t="s">
        <v>35</v>
      </c>
    </row>
    <row r="54" spans="2:10" ht="15" x14ac:dyDescent="0.2">
      <c r="D54" s="59"/>
      <c r="E54" s="67"/>
      <c r="F54" s="59"/>
      <c r="H54" s="65"/>
      <c r="I54" s="58"/>
      <c r="J54" s="59"/>
    </row>
    <row r="56" spans="2:10" x14ac:dyDescent="0.2">
      <c r="D56" s="7" t="s">
        <v>42</v>
      </c>
    </row>
    <row r="57" spans="2:10" ht="15" x14ac:dyDescent="0.2">
      <c r="D57" s="58" t="s">
        <v>32</v>
      </c>
      <c r="E57" s="58"/>
      <c r="F57" s="58" t="s">
        <v>33</v>
      </c>
      <c r="G57" s="58"/>
      <c r="H57" s="58" t="s">
        <v>34</v>
      </c>
      <c r="I57" s="58"/>
      <c r="J57" s="58" t="s">
        <v>35</v>
      </c>
    </row>
    <row r="58" spans="2:10" ht="15" x14ac:dyDescent="0.2">
      <c r="D58" s="59"/>
      <c r="E58" s="67"/>
      <c r="F58" s="59"/>
      <c r="H58" s="65"/>
      <c r="I58" s="58"/>
      <c r="J58" s="59"/>
    </row>
    <row r="60" spans="2:10" x14ac:dyDescent="0.2">
      <c r="D60" s="7" t="s">
        <v>43</v>
      </c>
    </row>
    <row r="61" spans="2:10" ht="15" x14ac:dyDescent="0.2">
      <c r="D61" s="58" t="s">
        <v>32</v>
      </c>
      <c r="E61" s="58"/>
      <c r="F61" s="58" t="s">
        <v>33</v>
      </c>
      <c r="G61" s="58"/>
      <c r="H61" s="58" t="s">
        <v>34</v>
      </c>
      <c r="I61" s="58"/>
      <c r="J61" s="58" t="s">
        <v>35</v>
      </c>
    </row>
    <row r="62" spans="2:10" ht="15" x14ac:dyDescent="0.2">
      <c r="D62" s="59"/>
      <c r="E62" s="67"/>
      <c r="F62" s="59"/>
      <c r="H62" s="65"/>
      <c r="I62" s="58"/>
      <c r="J62" s="59"/>
    </row>
  </sheetData>
  <mergeCells count="1">
    <mergeCell ref="D23:J24"/>
  </mergeCells>
  <hyperlinks>
    <hyperlink ref="A5" location="Summary!A1" display="Link to summary" xr:uid="{00000000-0004-0000-0100-000000000000}"/>
  </hyperlinks>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7"/>
  <sheetViews>
    <sheetView showGridLines="0" zoomScale="83" zoomScaleNormal="83" workbookViewId="0">
      <selection activeCell="K16" sqref="K16"/>
    </sheetView>
  </sheetViews>
  <sheetFormatPr defaultColWidth="13.33203125" defaultRowHeight="12.75" x14ac:dyDescent="0.2"/>
  <cols>
    <col min="1" max="3" width="4.33203125" style="5" customWidth="1"/>
    <col min="4" max="4" width="6.1640625" style="5" customWidth="1"/>
    <col min="5" max="5" width="108.83203125" style="63" customWidth="1"/>
    <col min="6" max="6" width="2" style="5" customWidth="1"/>
    <col min="7" max="7" width="39.33203125" style="5" customWidth="1"/>
    <col min="8" max="8" width="29.5" style="5" customWidth="1"/>
    <col min="9" max="16384" width="13.33203125" style="5"/>
  </cols>
  <sheetData>
    <row r="1" spans="1:7" ht="21.75" x14ac:dyDescent="0.2">
      <c r="A1" s="1" t="s">
        <v>0</v>
      </c>
    </row>
    <row r="2" spans="1:7" ht="17.25" x14ac:dyDescent="0.2">
      <c r="A2" s="2" t="s">
        <v>1</v>
      </c>
    </row>
    <row r="3" spans="1:7" ht="17.25" x14ac:dyDescent="0.2">
      <c r="A3" s="2" t="s">
        <v>13</v>
      </c>
    </row>
    <row r="4" spans="1:7" ht="17.25" x14ac:dyDescent="0.2">
      <c r="A4" s="2">
        <f>Summary!Model_Name</f>
        <v>0</v>
      </c>
    </row>
    <row r="5" spans="1:7" ht="15.75" x14ac:dyDescent="0.35">
      <c r="A5" s="60" t="s">
        <v>3</v>
      </c>
    </row>
    <row r="9" spans="1:7" ht="15" x14ac:dyDescent="0.2">
      <c r="D9" s="61" t="s">
        <v>44</v>
      </c>
    </row>
    <row r="10" spans="1:7" ht="67.5" customHeight="1" x14ac:dyDescent="0.2">
      <c r="E10" s="64"/>
    </row>
    <row r="11" spans="1:7" x14ac:dyDescent="0.2">
      <c r="E11" s="5"/>
    </row>
    <row r="12" spans="1:7" ht="15" x14ac:dyDescent="0.2">
      <c r="D12" s="61" t="s">
        <v>45</v>
      </c>
    </row>
    <row r="13" spans="1:7" ht="67.5" customHeight="1" x14ac:dyDescent="0.2">
      <c r="E13" s="64"/>
    </row>
    <row r="14" spans="1:7" x14ac:dyDescent="0.2">
      <c r="E14" s="5"/>
    </row>
    <row r="15" spans="1:7" ht="15" x14ac:dyDescent="0.2">
      <c r="D15" s="61" t="s">
        <v>46</v>
      </c>
    </row>
    <row r="16" spans="1:7" ht="67.5" customHeight="1" x14ac:dyDescent="0.2">
      <c r="E16" s="64" t="s">
        <v>47</v>
      </c>
      <c r="G16" s="113"/>
    </row>
    <row r="17" spans="4:7" x14ac:dyDescent="0.2">
      <c r="E17" s="5"/>
    </row>
    <row r="18" spans="4:7" ht="15" x14ac:dyDescent="0.2">
      <c r="D18" s="61" t="s">
        <v>48</v>
      </c>
    </row>
    <row r="19" spans="4:7" ht="67.5" customHeight="1" x14ac:dyDescent="0.2">
      <c r="E19" s="114">
        <v>0.35</v>
      </c>
      <c r="G19" s="151"/>
    </row>
    <row r="20" spans="4:7" x14ac:dyDescent="0.2">
      <c r="E20" s="5"/>
    </row>
    <row r="21" spans="4:7" ht="15" x14ac:dyDescent="0.2">
      <c r="D21" s="61" t="s">
        <v>49</v>
      </c>
    </row>
    <row r="22" spans="4:7" ht="67.5" customHeight="1" x14ac:dyDescent="0.2">
      <c r="E22" s="64"/>
    </row>
    <row r="23" spans="4:7" x14ac:dyDescent="0.2">
      <c r="E23" s="5"/>
    </row>
    <row r="24" spans="4:7" ht="15" x14ac:dyDescent="0.2">
      <c r="D24" s="61" t="s">
        <v>50</v>
      </c>
    </row>
    <row r="25" spans="4:7" ht="67.5" customHeight="1" x14ac:dyDescent="0.2">
      <c r="E25" s="64"/>
    </row>
    <row r="26" spans="4:7" x14ac:dyDescent="0.2">
      <c r="E26" s="5"/>
    </row>
    <row r="27" spans="4:7" ht="53.45" customHeight="1" x14ac:dyDescent="0.2">
      <c r="D27" s="156" t="s">
        <v>51</v>
      </c>
      <c r="E27" s="156"/>
    </row>
    <row r="28" spans="4:7" ht="67.5" customHeight="1" x14ac:dyDescent="0.2">
      <c r="E28" s="64"/>
    </row>
    <row r="29" spans="4:7" x14ac:dyDescent="0.2">
      <c r="E29" s="5"/>
    </row>
    <row r="30" spans="4:7" ht="32.450000000000003" customHeight="1" x14ac:dyDescent="0.2">
      <c r="D30" s="155" t="s">
        <v>52</v>
      </c>
      <c r="E30" s="155"/>
    </row>
    <row r="31" spans="4:7" ht="67.5" customHeight="1" x14ac:dyDescent="0.2">
      <c r="E31" s="64"/>
    </row>
    <row r="32" spans="4:7" x14ac:dyDescent="0.2">
      <c r="E32" s="5"/>
    </row>
    <row r="33" spans="4:5" ht="32.450000000000003" customHeight="1" x14ac:dyDescent="0.2">
      <c r="D33" s="155" t="s">
        <v>53</v>
      </c>
      <c r="E33" s="155"/>
    </row>
    <row r="34" spans="4:5" ht="67.5" customHeight="1" x14ac:dyDescent="0.2">
      <c r="E34" s="64"/>
    </row>
    <row r="36" spans="4:5" ht="59.25" customHeight="1" x14ac:dyDescent="0.2">
      <c r="D36" s="155" t="s">
        <v>54</v>
      </c>
      <c r="E36" s="155"/>
    </row>
    <row r="37" spans="4:5" ht="67.5" customHeight="1" x14ac:dyDescent="0.2">
      <c r="E37" s="64"/>
    </row>
  </sheetData>
  <mergeCells count="4">
    <mergeCell ref="D36:E36"/>
    <mergeCell ref="D27:E27"/>
    <mergeCell ref="D30:E30"/>
    <mergeCell ref="D33:E33"/>
  </mergeCells>
  <dataValidations count="1">
    <dataValidation type="list" allowBlank="1" showInputMessage="1" showErrorMessage="1" sqref="E16" xr:uid="{A4A054D4-3ABE-4842-A159-C8CBA9A698FD}">
      <formula1>Fund</formula1>
    </dataValidation>
  </dataValidations>
  <hyperlinks>
    <hyperlink ref="A5" location="Summary!A1" display="Link to summary" xr:uid="{00000000-0004-0000-0200-000000000000}"/>
  </hyperlink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73"/>
  <sheetViews>
    <sheetView showGridLines="0" zoomScale="86" zoomScaleNormal="83" workbookViewId="0">
      <selection activeCell="F53" sqref="F53"/>
    </sheetView>
  </sheetViews>
  <sheetFormatPr defaultColWidth="9.33203125" defaultRowHeight="12.75" x14ac:dyDescent="0.2"/>
  <cols>
    <col min="1" max="2" width="4.33203125" style="5" customWidth="1"/>
    <col min="3" max="3" width="35.6640625" style="5" bestFit="1" customWidth="1"/>
    <col min="4" max="4" width="34.1640625" style="5" bestFit="1" customWidth="1"/>
    <col min="5" max="5" width="37.83203125" style="5" customWidth="1"/>
    <col min="6" max="9" width="21.83203125" style="5" customWidth="1"/>
    <col min="10" max="10" width="25.6640625" style="5" customWidth="1"/>
    <col min="11" max="11" width="22.83203125" style="5" customWidth="1"/>
    <col min="12" max="12" width="25.1640625" style="5" customWidth="1"/>
    <col min="13" max="16384" width="9.33203125" style="5"/>
  </cols>
  <sheetData>
    <row r="1" spans="1:8" ht="15.75" x14ac:dyDescent="0.25">
      <c r="A1" s="6" t="s">
        <v>0</v>
      </c>
    </row>
    <row r="2" spans="1:8" x14ac:dyDescent="0.2">
      <c r="A2" s="7" t="s">
        <v>1</v>
      </c>
    </row>
    <row r="3" spans="1:8" x14ac:dyDescent="0.2">
      <c r="A3" s="7" t="s">
        <v>14</v>
      </c>
    </row>
    <row r="4" spans="1:8" x14ac:dyDescent="0.2">
      <c r="A4" s="7">
        <f>Summary!Model_Name</f>
        <v>0</v>
      </c>
    </row>
    <row r="5" spans="1:8" ht="15.75" x14ac:dyDescent="0.35">
      <c r="A5" s="60" t="s">
        <v>3</v>
      </c>
    </row>
    <row r="8" spans="1:8" ht="17.25" x14ac:dyDescent="0.2">
      <c r="B8" s="2" t="s">
        <v>14</v>
      </c>
    </row>
    <row r="10" spans="1:8" x14ac:dyDescent="0.2">
      <c r="C10" s="7" t="s">
        <v>20</v>
      </c>
    </row>
    <row r="11" spans="1:8" ht="13.5" thickBot="1" x14ac:dyDescent="0.25"/>
    <row r="12" spans="1:8" ht="13.5" thickBot="1" x14ac:dyDescent="0.25">
      <c r="D12" s="22" t="s">
        <v>18</v>
      </c>
      <c r="E12" s="23" t="s">
        <v>55</v>
      </c>
      <c r="F12" s="11" t="s">
        <v>56</v>
      </c>
      <c r="G12" s="12" t="s">
        <v>20</v>
      </c>
      <c r="H12" s="152" t="s">
        <v>273</v>
      </c>
    </row>
    <row r="13" spans="1:8" x14ac:dyDescent="0.2">
      <c r="D13" s="70" t="s">
        <v>57</v>
      </c>
      <c r="E13" s="76">
        <v>332</v>
      </c>
      <c r="F13" s="76">
        <v>10</v>
      </c>
      <c r="G13" s="24">
        <f>E13*F13</f>
        <v>3320</v>
      </c>
    </row>
    <row r="14" spans="1:8" x14ac:dyDescent="0.2">
      <c r="D14" s="72"/>
      <c r="E14" s="77"/>
      <c r="F14" s="77"/>
      <c r="G14" s="25">
        <f t="shared" ref="G14:G20" si="0">E14*F14</f>
        <v>0</v>
      </c>
    </row>
    <row r="15" spans="1:8" x14ac:dyDescent="0.2">
      <c r="D15" s="72"/>
      <c r="E15" s="77"/>
      <c r="F15" s="77"/>
      <c r="G15" s="25">
        <f t="shared" si="0"/>
        <v>0</v>
      </c>
    </row>
    <row r="16" spans="1:8" x14ac:dyDescent="0.2">
      <c r="D16" s="72"/>
      <c r="E16" s="77"/>
      <c r="F16" s="77"/>
      <c r="G16" s="25">
        <f t="shared" si="0"/>
        <v>0</v>
      </c>
    </row>
    <row r="17" spans="3:16" x14ac:dyDescent="0.2">
      <c r="D17" s="72"/>
      <c r="E17" s="77"/>
      <c r="F17" s="77"/>
      <c r="G17" s="25">
        <f t="shared" si="0"/>
        <v>0</v>
      </c>
    </row>
    <row r="18" spans="3:16" x14ac:dyDescent="0.2">
      <c r="D18" s="72"/>
      <c r="E18" s="77"/>
      <c r="F18" s="77"/>
      <c r="G18" s="25">
        <f t="shared" si="0"/>
        <v>0</v>
      </c>
    </row>
    <row r="19" spans="3:16" x14ac:dyDescent="0.2">
      <c r="D19" s="72"/>
      <c r="E19" s="77"/>
      <c r="F19" s="77"/>
      <c r="G19" s="25">
        <f t="shared" si="0"/>
        <v>0</v>
      </c>
    </row>
    <row r="20" spans="3:16" x14ac:dyDescent="0.2">
      <c r="D20" s="72"/>
      <c r="E20" s="77"/>
      <c r="F20" s="77"/>
      <c r="G20" s="25">
        <f t="shared" si="0"/>
        <v>0</v>
      </c>
    </row>
    <row r="21" spans="3:16" ht="13.5" thickBot="1" x14ac:dyDescent="0.25">
      <c r="D21" s="26" t="s">
        <v>58</v>
      </c>
      <c r="E21" s="27"/>
      <c r="F21" s="27"/>
      <c r="G21" s="29">
        <f>SUM(G13:G20)</f>
        <v>3320</v>
      </c>
      <c r="H21" s="153">
        <f>SUM(K36+I48+I58+I65)/(1-Checklist!$E$19)</f>
        <v>3315.6618823174244</v>
      </c>
    </row>
    <row r="23" spans="3:16" x14ac:dyDescent="0.2">
      <c r="C23" s="7" t="s">
        <v>59</v>
      </c>
    </row>
    <row r="24" spans="3:16" ht="13.5" thickBot="1" x14ac:dyDescent="0.25"/>
    <row r="25" spans="3:16" ht="39" thickBot="1" x14ac:dyDescent="0.25">
      <c r="D25" s="9" t="s">
        <v>33</v>
      </c>
      <c r="E25" s="10" t="s">
        <v>60</v>
      </c>
      <c r="F25" s="10" t="s">
        <v>61</v>
      </c>
      <c r="G25" s="10" t="s">
        <v>62</v>
      </c>
      <c r="H25" s="11" t="s">
        <v>63</v>
      </c>
      <c r="I25" s="11" t="s">
        <v>64</v>
      </c>
      <c r="J25" s="11" t="s">
        <v>65</v>
      </c>
      <c r="K25" s="12" t="s">
        <v>66</v>
      </c>
      <c r="L25" s="12" t="s">
        <v>67</v>
      </c>
      <c r="M25" s="8"/>
      <c r="N25" s="8"/>
      <c r="O25" s="8"/>
      <c r="P25" s="8"/>
    </row>
    <row r="26" spans="3:16" ht="15" x14ac:dyDescent="0.2">
      <c r="D26" s="70" t="s">
        <v>68</v>
      </c>
      <c r="E26" s="71" t="s">
        <v>69</v>
      </c>
      <c r="F26" s="71" t="s">
        <v>70</v>
      </c>
      <c r="G26" s="71"/>
      <c r="H26" s="15" t="s">
        <v>71</v>
      </c>
      <c r="I26" s="16">
        <f>IFERROR(INDEX(Lookups!T:T,MATCH('Financial Assumptions'!$H26,Lookups!D:D,0))*1,0)</f>
        <v>141.41959348990011</v>
      </c>
      <c r="J26" s="74">
        <v>10</v>
      </c>
      <c r="K26" s="17">
        <f>I26*J26</f>
        <v>1414.195934899001</v>
      </c>
      <c r="L26" s="147">
        <f>IFERROR(INDEX(Lookups!T:T,MATCH("Level C04",Lookups!D:D,0)),0)*J26</f>
        <v>1164.03146627008</v>
      </c>
    </row>
    <row r="27" spans="3:16" ht="15" x14ac:dyDescent="0.2">
      <c r="D27" s="72"/>
      <c r="E27" s="73"/>
      <c r="F27" s="150" t="s">
        <v>72</v>
      </c>
      <c r="G27" s="73"/>
      <c r="H27" s="13"/>
      <c r="I27" s="14">
        <f>IFERROR(INDEX(Lookups!T:T,MATCH('Financial Assumptions'!$H27,Lookups!D:D,0))*1,0)</f>
        <v>0</v>
      </c>
      <c r="J27" s="75"/>
      <c r="K27" s="18">
        <f>I27*J27</f>
        <v>0</v>
      </c>
      <c r="L27" s="148">
        <f>IFERROR(INDEX(Lookups!T:T,MATCH("Level C04",Lookups!D:D,0)),0)*J27</f>
        <v>0</v>
      </c>
    </row>
    <row r="28" spans="3:16" ht="15" x14ac:dyDescent="0.2">
      <c r="D28" s="72"/>
      <c r="E28" s="73"/>
      <c r="F28" s="150"/>
      <c r="G28" s="73"/>
      <c r="H28" s="13"/>
      <c r="I28" s="14">
        <f>IFERROR(INDEX(Lookups!T:T,MATCH('Financial Assumptions'!$H28,Lookups!D:D,0))*1,0)</f>
        <v>0</v>
      </c>
      <c r="J28" s="75"/>
      <c r="K28" s="18">
        <f t="shared" ref="K28:K35" si="1">I28*J28</f>
        <v>0</v>
      </c>
      <c r="L28" s="148">
        <f>IFERROR(INDEX(Lookups!T:T,MATCH("Level C04",Lookups!D:D,0)),0)*J28</f>
        <v>0</v>
      </c>
    </row>
    <row r="29" spans="3:16" ht="15" x14ac:dyDescent="0.2">
      <c r="D29" s="72"/>
      <c r="E29" s="73"/>
      <c r="F29" s="150"/>
      <c r="G29" s="73"/>
      <c r="H29" s="13"/>
      <c r="I29" s="14">
        <f>IFERROR(INDEX(Lookups!T:T,MATCH('Financial Assumptions'!$H29,Lookups!D:D,0))*1,0)</f>
        <v>0</v>
      </c>
      <c r="J29" s="75"/>
      <c r="K29" s="18">
        <f t="shared" si="1"/>
        <v>0</v>
      </c>
      <c r="L29" s="148">
        <f>IFERROR(INDEX(Lookups!T:T,MATCH("Level C04",Lookups!D:D,0)),0)*J29</f>
        <v>0</v>
      </c>
    </row>
    <row r="30" spans="3:16" ht="15" x14ac:dyDescent="0.2">
      <c r="D30" s="72"/>
      <c r="E30" s="73"/>
      <c r="F30" s="150"/>
      <c r="G30" s="73"/>
      <c r="H30" s="13"/>
      <c r="I30" s="14">
        <f>IFERROR(INDEX(Lookups!T:T,MATCH('Financial Assumptions'!$H30,Lookups!D:D,0))*1,0)</f>
        <v>0</v>
      </c>
      <c r="J30" s="75"/>
      <c r="K30" s="18">
        <f t="shared" si="1"/>
        <v>0</v>
      </c>
      <c r="L30" s="148">
        <f>IFERROR(INDEX(Lookups!T:T,MATCH("Level C04",Lookups!D:D,0)),0)*J30</f>
        <v>0</v>
      </c>
    </row>
    <row r="31" spans="3:16" ht="15" x14ac:dyDescent="0.2">
      <c r="D31" s="72"/>
      <c r="E31" s="73"/>
      <c r="F31" s="150"/>
      <c r="G31" s="73"/>
      <c r="H31" s="13"/>
      <c r="I31" s="14">
        <f>IFERROR(INDEX(Lookups!T:T,MATCH('Financial Assumptions'!$H31,Lookups!D:D,0))*1,0)</f>
        <v>0</v>
      </c>
      <c r="J31" s="75"/>
      <c r="K31" s="18">
        <f t="shared" si="1"/>
        <v>0</v>
      </c>
      <c r="L31" s="148">
        <f>IFERROR(INDEX(Lookups!T:T,MATCH("Level C04",Lookups!D:D,0)),0)*J31</f>
        <v>0</v>
      </c>
    </row>
    <row r="32" spans="3:16" ht="15" x14ac:dyDescent="0.2">
      <c r="D32" s="72"/>
      <c r="E32" s="73"/>
      <c r="F32" s="150"/>
      <c r="G32" s="73"/>
      <c r="H32" s="13"/>
      <c r="I32" s="14">
        <f>IFERROR(INDEX(Lookups!T:T,MATCH('Financial Assumptions'!$H32,Lookups!D:D,0))*1,0)</f>
        <v>0</v>
      </c>
      <c r="J32" s="75"/>
      <c r="K32" s="18">
        <f t="shared" si="1"/>
        <v>0</v>
      </c>
      <c r="L32" s="148">
        <f>IFERROR(INDEX(Lookups!T:T,MATCH("Level C04",Lookups!D:D,0)),0)*J32</f>
        <v>0</v>
      </c>
    </row>
    <row r="33" spans="3:12" ht="15" x14ac:dyDescent="0.2">
      <c r="D33" s="72"/>
      <c r="E33" s="73"/>
      <c r="F33" s="150"/>
      <c r="G33" s="73"/>
      <c r="H33" s="13"/>
      <c r="I33" s="14">
        <f>IFERROR(INDEX(Lookups!T:T,MATCH('Financial Assumptions'!$H33,Lookups!D:D,0))*1,0)</f>
        <v>0</v>
      </c>
      <c r="J33" s="75"/>
      <c r="K33" s="18">
        <f t="shared" si="1"/>
        <v>0</v>
      </c>
      <c r="L33" s="148">
        <f>IFERROR(INDEX(Lookups!T:T,MATCH("Level C04",Lookups!D:D,0)),0)*J33</f>
        <v>0</v>
      </c>
    </row>
    <row r="34" spans="3:12" ht="15" x14ac:dyDescent="0.2">
      <c r="D34" s="72"/>
      <c r="E34" s="73"/>
      <c r="F34" s="150"/>
      <c r="G34" s="73"/>
      <c r="H34" s="13"/>
      <c r="I34" s="14">
        <f>IFERROR(INDEX(Lookups!T:T,MATCH('Financial Assumptions'!$H34,Lookups!D:D,0))*1,0)</f>
        <v>0</v>
      </c>
      <c r="J34" s="75"/>
      <c r="K34" s="18">
        <f t="shared" si="1"/>
        <v>0</v>
      </c>
      <c r="L34" s="148">
        <f>IFERROR(INDEX(Lookups!T:T,MATCH("Level C04",Lookups!D:D,0)),0)*J34</f>
        <v>0</v>
      </c>
    </row>
    <row r="35" spans="3:12" ht="15" x14ac:dyDescent="0.2">
      <c r="D35" s="72"/>
      <c r="E35" s="73"/>
      <c r="F35" s="150"/>
      <c r="G35" s="73"/>
      <c r="H35" s="13"/>
      <c r="I35" s="14">
        <f>IFERROR(INDEX(Lookups!T:T,MATCH('Financial Assumptions'!$H35,Lookups!D:D,0))*1,0)</f>
        <v>0</v>
      </c>
      <c r="J35" s="75"/>
      <c r="K35" s="18">
        <f t="shared" si="1"/>
        <v>0</v>
      </c>
      <c r="L35" s="148">
        <f>IFERROR(INDEX(Lookups!T:T,MATCH("Level C04",Lookups!D:D,0)),0)*J35</f>
        <v>0</v>
      </c>
    </row>
    <row r="36" spans="3:12" ht="15.75" thickBot="1" x14ac:dyDescent="0.25">
      <c r="D36" s="26" t="s">
        <v>73</v>
      </c>
      <c r="E36" s="19"/>
      <c r="F36" s="28"/>
      <c r="G36" s="19"/>
      <c r="H36" s="69"/>
      <c r="I36" s="20"/>
      <c r="J36" s="30">
        <f>SUM(J26:J35)</f>
        <v>10</v>
      </c>
      <c r="K36" s="28">
        <f>SUM(K26:K35)</f>
        <v>1414.195934899001</v>
      </c>
      <c r="L36" s="149">
        <f>SUM(L26:L35)</f>
        <v>1164.03146627008</v>
      </c>
    </row>
    <row r="38" spans="3:12" x14ac:dyDescent="0.2">
      <c r="C38" s="7" t="s">
        <v>74</v>
      </c>
    </row>
    <row r="39" spans="3:12" ht="13.5" thickBot="1" x14ac:dyDescent="0.25"/>
    <row r="40" spans="3:12" ht="13.5" thickBot="1" x14ac:dyDescent="0.25">
      <c r="D40" s="98" t="s">
        <v>75</v>
      </c>
      <c r="E40" s="99" t="s">
        <v>76</v>
      </c>
      <c r="F40" s="99"/>
      <c r="G40" s="104" t="s">
        <v>55</v>
      </c>
      <c r="H40" s="100" t="s">
        <v>56</v>
      </c>
      <c r="I40" s="101" t="s">
        <v>66</v>
      </c>
    </row>
    <row r="41" spans="3:12" ht="15.75" customHeight="1" x14ac:dyDescent="0.2">
      <c r="D41" s="95" t="s">
        <v>77</v>
      </c>
      <c r="E41" s="139" t="s">
        <v>78</v>
      </c>
      <c r="F41" s="140"/>
      <c r="G41" s="96">
        <v>250</v>
      </c>
      <c r="H41" s="96">
        <v>1</v>
      </c>
      <c r="I41" s="97">
        <f>G41*H41</f>
        <v>250</v>
      </c>
    </row>
    <row r="42" spans="3:12" x14ac:dyDescent="0.2">
      <c r="D42" s="72"/>
      <c r="E42" s="137"/>
      <c r="F42" s="138"/>
      <c r="G42" s="77"/>
      <c r="H42" s="77"/>
      <c r="I42" s="25">
        <f>G42*H42</f>
        <v>0</v>
      </c>
    </row>
    <row r="43" spans="3:12" x14ac:dyDescent="0.2">
      <c r="D43" s="72"/>
      <c r="E43" s="137"/>
      <c r="F43" s="138"/>
      <c r="G43" s="77"/>
      <c r="H43" s="77"/>
      <c r="I43" s="25">
        <f t="shared" ref="I43:I47" si="2">G43*H43</f>
        <v>0</v>
      </c>
    </row>
    <row r="44" spans="3:12" x14ac:dyDescent="0.2">
      <c r="D44" s="72"/>
      <c r="E44" s="137"/>
      <c r="F44" s="138"/>
      <c r="G44" s="77"/>
      <c r="H44" s="77"/>
      <c r="I44" s="25">
        <f t="shared" si="2"/>
        <v>0</v>
      </c>
    </row>
    <row r="45" spans="3:12" x14ac:dyDescent="0.2">
      <c r="D45" s="72"/>
      <c r="E45" s="137"/>
      <c r="F45" s="138"/>
      <c r="G45" s="77"/>
      <c r="H45" s="77"/>
      <c r="I45" s="25">
        <f t="shared" si="2"/>
        <v>0</v>
      </c>
    </row>
    <row r="46" spans="3:12" x14ac:dyDescent="0.2">
      <c r="D46" s="72"/>
      <c r="E46" s="137"/>
      <c r="F46" s="138"/>
      <c r="G46" s="77"/>
      <c r="H46" s="77"/>
      <c r="I46" s="25">
        <f t="shared" si="2"/>
        <v>0</v>
      </c>
    </row>
    <row r="47" spans="3:12" x14ac:dyDescent="0.2">
      <c r="D47" s="72"/>
      <c r="E47" s="137"/>
      <c r="F47" s="138"/>
      <c r="G47" s="77"/>
      <c r="H47" s="77"/>
      <c r="I47" s="25">
        <f t="shared" si="2"/>
        <v>0</v>
      </c>
    </row>
    <row r="48" spans="3:12" ht="16.5" customHeight="1" thickBot="1" x14ac:dyDescent="0.25">
      <c r="D48" s="26"/>
      <c r="E48" s="141"/>
      <c r="F48" s="142"/>
      <c r="G48" s="20"/>
      <c r="H48" s="20"/>
      <c r="I48" s="28">
        <f>SUM(I41:I47)</f>
        <v>250</v>
      </c>
    </row>
    <row r="50" spans="3:11" x14ac:dyDescent="0.2">
      <c r="C50" s="7" t="s">
        <v>79</v>
      </c>
    </row>
    <row r="51" spans="3:11" ht="13.5" thickBot="1" x14ac:dyDescent="0.25">
      <c r="C51" s="105"/>
    </row>
    <row r="52" spans="3:11" ht="13.5" thickBot="1" x14ac:dyDescent="0.25">
      <c r="C52" s="105"/>
      <c r="D52" s="102" t="s">
        <v>80</v>
      </c>
      <c r="E52" s="103" t="s">
        <v>81</v>
      </c>
      <c r="F52" s="103" t="s">
        <v>82</v>
      </c>
      <c r="G52" s="104" t="s">
        <v>55</v>
      </c>
      <c r="H52" s="100" t="s">
        <v>56</v>
      </c>
      <c r="I52" s="101" t="s">
        <v>66</v>
      </c>
    </row>
    <row r="53" spans="3:11" x14ac:dyDescent="0.2">
      <c r="C53" s="128" t="str">
        <f>E53&amp;F53</f>
        <v>Internal DIYMinimum</v>
      </c>
      <c r="D53" s="70" t="s">
        <v>83</v>
      </c>
      <c r="E53" s="76" t="s">
        <v>84</v>
      </c>
      <c r="F53" s="76" t="s">
        <v>85</v>
      </c>
      <c r="G53" s="77">
        <f>IFERROR(INDEX('iLab Charge Summary'!$E$5:$J$13,MATCH('Financial Assumptions'!$C53,'iLab Charge Summary'!$D$5:$D$13,0),MATCH('Financial Assumptions'!$D53,'iLab Charge Summary'!$E$4:$J$4,0)),0)</f>
        <v>30</v>
      </c>
      <c r="H53" s="76">
        <v>2</v>
      </c>
      <c r="I53" s="24">
        <f t="shared" ref="I53:I57" si="3">G53*H53</f>
        <v>60</v>
      </c>
    </row>
    <row r="54" spans="3:11" x14ac:dyDescent="0.2">
      <c r="C54" s="128" t="str">
        <f>E54&amp;F54</f>
        <v>Internal Full ServiceMinimum</v>
      </c>
      <c r="D54" s="72" t="s">
        <v>86</v>
      </c>
      <c r="E54" s="77" t="s">
        <v>87</v>
      </c>
      <c r="F54" s="77" t="s">
        <v>85</v>
      </c>
      <c r="G54" s="77">
        <f>IFERROR(INDEX('iLab Charge Summary'!$E$5:$J$13,MATCH('Financial Assumptions'!$C54,'iLab Charge Summary'!$D$5:$D$13,0),MATCH('Financial Assumptions'!$D54,'iLab Charge Summary'!$E$4:$J$4,0)),0)</f>
        <v>55</v>
      </c>
      <c r="H54" s="77">
        <v>2</v>
      </c>
      <c r="I54" s="25">
        <f>G54*H54</f>
        <v>110</v>
      </c>
      <c r="K54" s="129"/>
    </row>
    <row r="55" spans="3:11" x14ac:dyDescent="0.2">
      <c r="C55" s="128" t="str">
        <f t="shared" ref="C55:C57" si="4">E55&amp;F55</f>
        <v/>
      </c>
      <c r="D55" s="72"/>
      <c r="E55" s="77"/>
      <c r="F55" s="77"/>
      <c r="G55" s="77">
        <f>IFERROR(INDEX('iLab Charge Summary'!$E$5:$J$13,MATCH('Financial Assumptions'!$C55,'iLab Charge Summary'!$D$5:$D$13,0),MATCH('Financial Assumptions'!$D55,'iLab Charge Summary'!$E$4:$J$4,0)),0)</f>
        <v>0</v>
      </c>
      <c r="H55" s="77"/>
      <c r="I55" s="25">
        <f t="shared" si="3"/>
        <v>0</v>
      </c>
    </row>
    <row r="56" spans="3:11" x14ac:dyDescent="0.2">
      <c r="C56" s="128" t="str">
        <f t="shared" si="4"/>
        <v/>
      </c>
      <c r="D56" s="72"/>
      <c r="E56" s="77"/>
      <c r="F56" s="77"/>
      <c r="G56" s="77">
        <f>IFERROR(INDEX('iLab Charge Summary'!$E$5:$J$13,MATCH('Financial Assumptions'!$C56,'iLab Charge Summary'!$D$5:$D$13,0),MATCH('Financial Assumptions'!$D56,'iLab Charge Summary'!$E$4:$J$4,0)),0)</f>
        <v>0</v>
      </c>
      <c r="H56" s="77"/>
      <c r="I56" s="25">
        <f>G56*H56</f>
        <v>0</v>
      </c>
    </row>
    <row r="57" spans="3:11" x14ac:dyDescent="0.2">
      <c r="C57" s="128" t="str">
        <f t="shared" si="4"/>
        <v/>
      </c>
      <c r="D57" s="72"/>
      <c r="E57" s="77"/>
      <c r="F57" s="77"/>
      <c r="G57" s="77">
        <f>IFERROR(INDEX('iLab Charge Summary'!$E$5:$J$13,MATCH('Financial Assumptions'!$C57,'iLab Charge Summary'!$D$5:$D$13,0),MATCH('Financial Assumptions'!$D57,'iLab Charge Summary'!$E$4:$J$4,0)),0)</f>
        <v>0</v>
      </c>
      <c r="H57" s="77"/>
      <c r="I57" s="25">
        <f t="shared" si="3"/>
        <v>0</v>
      </c>
    </row>
    <row r="58" spans="3:11" ht="15.75" thickBot="1" x14ac:dyDescent="0.25">
      <c r="C58" s="106"/>
      <c r="D58" s="26" t="s">
        <v>88</v>
      </c>
      <c r="E58" s="19"/>
      <c r="F58" s="69"/>
      <c r="G58" s="20"/>
      <c r="H58" s="20"/>
      <c r="I58" s="28">
        <f>SUM(I53:I57)</f>
        <v>170</v>
      </c>
    </row>
    <row r="59" spans="3:11" x14ac:dyDescent="0.2">
      <c r="C59" s="106"/>
      <c r="E59" s="107"/>
      <c r="F59" s="107"/>
      <c r="G59" s="107"/>
      <c r="H59" s="107"/>
      <c r="I59" s="107"/>
    </row>
    <row r="60" spans="3:11" ht="13.5" thickBot="1" x14ac:dyDescent="0.25">
      <c r="C60" s="106"/>
      <c r="E60" s="107"/>
      <c r="F60" s="107"/>
      <c r="G60" s="107"/>
      <c r="H60" s="107"/>
      <c r="I60" s="107"/>
    </row>
    <row r="61" spans="3:11" ht="13.5" thickBot="1" x14ac:dyDescent="0.25">
      <c r="C61" s="105"/>
      <c r="D61" s="108" t="s">
        <v>89</v>
      </c>
      <c r="E61" s="109"/>
      <c r="F61" s="109"/>
      <c r="G61" s="109"/>
      <c r="H61" s="109"/>
      <c r="I61" s="29">
        <f>I58+I48</f>
        <v>420</v>
      </c>
    </row>
    <row r="62" spans="3:11" x14ac:dyDescent="0.2">
      <c r="E62" s="21"/>
    </row>
    <row r="63" spans="3:11" x14ac:dyDescent="0.2">
      <c r="C63" s="7" t="s">
        <v>90</v>
      </c>
      <c r="E63" s="21"/>
    </row>
    <row r="64" spans="3:11" ht="13.5" thickBot="1" x14ac:dyDescent="0.25">
      <c r="E64" s="21"/>
    </row>
    <row r="65" spans="4:9" ht="13.5" thickBot="1" x14ac:dyDescent="0.25">
      <c r="D65" s="110" t="s">
        <v>274</v>
      </c>
      <c r="E65" s="112"/>
      <c r="F65" s="112"/>
      <c r="G65" s="112"/>
      <c r="H65" s="112"/>
      <c r="I65" s="111">
        <f>SUM(K36,I61)*Lookups!$E$12</f>
        <v>320.98428860732514</v>
      </c>
    </row>
    <row r="66" spans="4:9" x14ac:dyDescent="0.2">
      <c r="E66" s="21"/>
    </row>
    <row r="67" spans="4:9" x14ac:dyDescent="0.2">
      <c r="E67" s="21"/>
    </row>
    <row r="68" spans="4:9" x14ac:dyDescent="0.2">
      <c r="E68" s="21"/>
    </row>
    <row r="69" spans="4:9" x14ac:dyDescent="0.2">
      <c r="E69" s="21"/>
    </row>
    <row r="70" spans="4:9" x14ac:dyDescent="0.2">
      <c r="E70" s="21"/>
    </row>
    <row r="71" spans="4:9" x14ac:dyDescent="0.2">
      <c r="E71" s="21"/>
    </row>
    <row r="72" spans="4:9" x14ac:dyDescent="0.2">
      <c r="E72" s="21"/>
    </row>
    <row r="73" spans="4:9" x14ac:dyDescent="0.2">
      <c r="E73" s="21"/>
    </row>
  </sheetData>
  <dataValidations count="4">
    <dataValidation type="list" allowBlank="1" showInputMessage="1" showErrorMessage="1" sqref="H26:H35" xr:uid="{00000000-0002-0000-0400-000000000000}">
      <formula1>Salary_Level</formula1>
    </dataValidation>
    <dataValidation type="list" allowBlank="1" showInputMessage="1" showErrorMessage="1" sqref="D53:D57" xr:uid="{F30206C3-1507-44EB-820F-AB53C5FF8255}">
      <formula1>EQUIP_TYPE</formula1>
    </dataValidation>
    <dataValidation type="list" allowBlank="1" showInputMessage="1" showErrorMessage="1" sqref="E53:E57" xr:uid="{E54F9AAA-ADC2-4A5E-B827-89FCE3C19C10}">
      <formula1>USAGE_TYPE</formula1>
    </dataValidation>
    <dataValidation type="list" allowBlank="1" showInputMessage="1" showErrorMessage="1" sqref="F53:F57" xr:uid="{B6B643D5-9B77-496E-BDB2-80A046AB16FA}">
      <formula1>CHG_TYPE</formula1>
    </dataValidation>
  </dataValidations>
  <hyperlinks>
    <hyperlink ref="A5" location="Summary!A1" display="Link to summary" xr:uid="{00000000-0004-0000-0400-000000000000}"/>
  </hyperlinks>
  <pageMargins left="0.7" right="0.7" top="0.75" bottom="0.75" header="0.3" footer="0.3"/>
  <pageSetup paperSize="9" scale="5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11814D2-FFBD-4659-AB23-BBC4F0CB4D11}">
          <x14:formula1>
            <xm:f>Lookups!$G$6:$G$9</xm:f>
          </x14:formula1>
          <xm:sqref>F26:F35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9ED9E-59C8-479E-B3E4-1602022F2EFC}">
  <dimension ref="B3:J13"/>
  <sheetViews>
    <sheetView workbookViewId="0">
      <selection activeCell="G23" sqref="G23"/>
    </sheetView>
  </sheetViews>
  <sheetFormatPr defaultRowHeight="15.75" x14ac:dyDescent="0.35"/>
  <cols>
    <col min="1" max="1" width="26.33203125" bestFit="1" customWidth="1"/>
    <col min="2" max="2" width="19.1640625" bestFit="1" customWidth="1"/>
    <col min="3" max="3" width="19" customWidth="1"/>
    <col min="4" max="4" width="19" hidden="1" customWidth="1"/>
    <col min="5" max="10" width="19" customWidth="1"/>
  </cols>
  <sheetData>
    <row r="3" spans="2:10" ht="16.5" thickBot="1" x14ac:dyDescent="0.4"/>
    <row r="4" spans="2:10" ht="39.200000000000003" customHeight="1" thickBot="1" x14ac:dyDescent="0.4">
      <c r="B4" s="93" t="s">
        <v>91</v>
      </c>
      <c r="C4" s="94"/>
      <c r="D4" s="94"/>
      <c r="E4" s="92" t="s">
        <v>92</v>
      </c>
      <c r="F4" s="92" t="s">
        <v>83</v>
      </c>
      <c r="G4" s="92" t="s">
        <v>93</v>
      </c>
      <c r="H4" s="92" t="s">
        <v>86</v>
      </c>
      <c r="I4" s="92" t="s">
        <v>94</v>
      </c>
      <c r="J4" s="92" t="s">
        <v>95</v>
      </c>
    </row>
    <row r="5" spans="2:10" ht="26.25" thickBot="1" x14ac:dyDescent="0.4">
      <c r="B5" s="157" t="s">
        <v>84</v>
      </c>
      <c r="C5" s="88" t="s">
        <v>85</v>
      </c>
      <c r="D5" s="88" t="str">
        <f>B5&amp;C5</f>
        <v>Internal DIYMinimum</v>
      </c>
      <c r="E5" s="89">
        <v>30</v>
      </c>
      <c r="F5" s="89">
        <v>30</v>
      </c>
      <c r="G5" s="89">
        <v>15</v>
      </c>
      <c r="H5" s="89">
        <v>15</v>
      </c>
      <c r="I5" s="88" t="s">
        <v>96</v>
      </c>
      <c r="J5" s="89">
        <v>20</v>
      </c>
    </row>
    <row r="6" spans="2:10" ht="26.25" thickBot="1" x14ac:dyDescent="0.4">
      <c r="B6" s="158"/>
      <c r="C6" s="88" t="s">
        <v>97</v>
      </c>
      <c r="D6" s="88" t="str">
        <f>B5&amp;C6</f>
        <v xml:space="preserve">Internal DIYMaximum </v>
      </c>
      <c r="E6" s="89">
        <v>98</v>
      </c>
      <c r="F6" s="89">
        <v>200</v>
      </c>
      <c r="G6" s="89">
        <v>107</v>
      </c>
      <c r="H6" s="89">
        <v>55</v>
      </c>
      <c r="I6" s="89">
        <v>100</v>
      </c>
      <c r="J6" s="89">
        <v>50</v>
      </c>
    </row>
    <row r="7" spans="2:10" ht="26.25" thickBot="1" x14ac:dyDescent="0.4">
      <c r="B7" s="159"/>
      <c r="C7" s="88" t="s">
        <v>98</v>
      </c>
      <c r="D7" s="88" t="str">
        <f>B5&amp;C7</f>
        <v>Internal DIYAverage</v>
      </c>
      <c r="E7" s="89">
        <v>52</v>
      </c>
      <c r="F7" s="89">
        <v>70</v>
      </c>
      <c r="G7" s="89">
        <v>52</v>
      </c>
      <c r="H7" s="89">
        <v>38</v>
      </c>
      <c r="I7" s="89">
        <v>38</v>
      </c>
      <c r="J7" s="89">
        <v>35</v>
      </c>
    </row>
    <row r="8" spans="2:10" ht="16.5" thickBot="1" x14ac:dyDescent="0.4">
      <c r="B8" s="160" t="s">
        <v>87</v>
      </c>
      <c r="C8" s="90" t="s">
        <v>85</v>
      </c>
      <c r="D8" s="90" t="str">
        <f>B8&amp;C8</f>
        <v>Internal Full ServiceMinimum</v>
      </c>
      <c r="E8" s="91">
        <v>70</v>
      </c>
      <c r="F8" s="91">
        <v>60</v>
      </c>
      <c r="G8" s="91">
        <v>95</v>
      </c>
      <c r="H8" s="91">
        <v>55</v>
      </c>
      <c r="I8" s="91">
        <v>40</v>
      </c>
      <c r="J8" s="91">
        <v>60</v>
      </c>
    </row>
    <row r="9" spans="2:10" ht="16.5" thickBot="1" x14ac:dyDescent="0.4">
      <c r="B9" s="161"/>
      <c r="C9" s="90" t="s">
        <v>97</v>
      </c>
      <c r="D9" s="90" t="str">
        <f>B8&amp;C9</f>
        <v xml:space="preserve">Internal Full ServiceMaximum </v>
      </c>
      <c r="E9" s="91">
        <v>390</v>
      </c>
      <c r="F9" s="91">
        <v>280</v>
      </c>
      <c r="G9" s="91">
        <v>201</v>
      </c>
      <c r="H9" s="91">
        <v>190</v>
      </c>
      <c r="I9" s="91">
        <v>140</v>
      </c>
      <c r="J9" s="91">
        <v>250</v>
      </c>
    </row>
    <row r="10" spans="2:10" ht="16.5" thickBot="1" x14ac:dyDescent="0.4">
      <c r="B10" s="162"/>
      <c r="C10" s="90" t="s">
        <v>98</v>
      </c>
      <c r="D10" s="90" t="str">
        <f>B8&amp;C10</f>
        <v>Internal Full ServiceAverage</v>
      </c>
      <c r="E10" s="91">
        <v>212</v>
      </c>
      <c r="F10" s="91">
        <v>151</v>
      </c>
      <c r="G10" s="91">
        <v>122</v>
      </c>
      <c r="H10" s="91">
        <v>86</v>
      </c>
      <c r="I10" s="91">
        <v>94</v>
      </c>
      <c r="J10" s="91">
        <v>128</v>
      </c>
    </row>
    <row r="11" spans="2:10" ht="26.25" thickBot="1" x14ac:dyDescent="0.4">
      <c r="B11" s="163" t="s">
        <v>99</v>
      </c>
      <c r="C11" s="88" t="s">
        <v>85</v>
      </c>
      <c r="D11" s="88" t="str">
        <f>B11&amp;C11</f>
        <v>Commercial RateMinimum</v>
      </c>
      <c r="E11" s="89">
        <v>240</v>
      </c>
      <c r="F11" s="89">
        <v>250</v>
      </c>
      <c r="G11" s="89">
        <v>130</v>
      </c>
      <c r="H11" s="89">
        <v>68</v>
      </c>
      <c r="I11" s="89">
        <v>120</v>
      </c>
      <c r="J11" s="89">
        <v>60</v>
      </c>
    </row>
    <row r="12" spans="2:10" ht="26.25" thickBot="1" x14ac:dyDescent="0.4">
      <c r="B12" s="158"/>
      <c r="C12" s="88" t="s">
        <v>97</v>
      </c>
      <c r="D12" s="88" t="str">
        <f>B11&amp;C12</f>
        <v xml:space="preserve">Commercial RateMaximum </v>
      </c>
      <c r="E12" s="89">
        <v>438</v>
      </c>
      <c r="F12" s="89">
        <v>550</v>
      </c>
      <c r="G12" s="89">
        <v>270</v>
      </c>
      <c r="H12" s="89">
        <v>374</v>
      </c>
      <c r="I12" s="89">
        <v>400</v>
      </c>
      <c r="J12" s="89">
        <v>550</v>
      </c>
    </row>
    <row r="13" spans="2:10" ht="26.25" thickBot="1" x14ac:dyDescent="0.4">
      <c r="B13" s="159"/>
      <c r="C13" s="88" t="s">
        <v>98</v>
      </c>
      <c r="D13" s="88" t="str">
        <f>B11&amp;C13</f>
        <v>Commercial RateAverage</v>
      </c>
      <c r="E13" s="89">
        <v>345</v>
      </c>
      <c r="F13" s="89">
        <v>368</v>
      </c>
      <c r="G13" s="89">
        <v>171</v>
      </c>
      <c r="H13" s="89">
        <v>205</v>
      </c>
      <c r="I13" s="89">
        <v>289</v>
      </c>
      <c r="J13" s="89">
        <v>344</v>
      </c>
    </row>
  </sheetData>
  <mergeCells count="3">
    <mergeCell ref="B5:B7"/>
    <mergeCell ref="B8:B10"/>
    <mergeCell ref="B11:B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64"/>
  <sheetViews>
    <sheetView showGridLines="0" zoomScale="83" zoomScaleNormal="83" workbookViewId="0">
      <selection activeCell="P11" sqref="P11"/>
    </sheetView>
  </sheetViews>
  <sheetFormatPr defaultColWidth="13.33203125" defaultRowHeight="15.75" x14ac:dyDescent="0.35"/>
  <cols>
    <col min="1" max="3" width="4.33203125" customWidth="1"/>
    <col min="4" max="4" width="43.5" customWidth="1"/>
    <col min="5" max="6" width="14.83203125" customWidth="1"/>
    <col min="7" max="7" width="20.6640625" customWidth="1"/>
    <col min="8" max="13" width="14.83203125" customWidth="1"/>
    <col min="14" max="14" width="14.83203125" hidden="1" customWidth="1"/>
    <col min="15" max="20" width="14.83203125" customWidth="1"/>
  </cols>
  <sheetData>
    <row r="1" spans="1:22" ht="21.75" x14ac:dyDescent="0.35">
      <c r="A1" s="1" t="s">
        <v>100</v>
      </c>
    </row>
    <row r="2" spans="1:22" ht="17.25" x14ac:dyDescent="0.35">
      <c r="A2" s="2">
        <f>Summary!Model_Name</f>
        <v>0</v>
      </c>
    </row>
    <row r="3" spans="1:22" ht="17.25" x14ac:dyDescent="0.35">
      <c r="A3" s="2" t="s">
        <v>101</v>
      </c>
    </row>
    <row r="4" spans="1:22" ht="17.25" x14ac:dyDescent="0.35">
      <c r="A4" s="2"/>
      <c r="T4" t="s">
        <v>102</v>
      </c>
      <c r="U4" t="s">
        <v>103</v>
      </c>
      <c r="V4" t="s">
        <v>104</v>
      </c>
    </row>
    <row r="5" spans="1:22" ht="17.25" x14ac:dyDescent="0.35">
      <c r="A5" s="2"/>
      <c r="D5" s="78" t="s">
        <v>105</v>
      </c>
      <c r="E5" s="79"/>
      <c r="G5" s="144" t="s">
        <v>106</v>
      </c>
      <c r="T5" t="s">
        <v>84</v>
      </c>
      <c r="U5" t="s">
        <v>85</v>
      </c>
      <c r="V5" t="s">
        <v>92</v>
      </c>
    </row>
    <row r="6" spans="1:22" ht="17.25" x14ac:dyDescent="0.35">
      <c r="A6" s="2"/>
      <c r="D6" s="80" t="s">
        <v>107</v>
      </c>
      <c r="E6" s="81">
        <v>0.1</v>
      </c>
      <c r="G6" s="145" t="s">
        <v>70</v>
      </c>
      <c r="T6" t="s">
        <v>87</v>
      </c>
      <c r="U6" t="s">
        <v>97</v>
      </c>
      <c r="V6" t="s">
        <v>83</v>
      </c>
    </row>
    <row r="7" spans="1:22" ht="17.25" x14ac:dyDescent="0.35">
      <c r="A7" s="2"/>
      <c r="D7" s="80" t="s">
        <v>47</v>
      </c>
      <c r="E7" s="82">
        <v>0.17499999999999999</v>
      </c>
      <c r="G7" s="145" t="s">
        <v>72</v>
      </c>
      <c r="T7" t="s">
        <v>99</v>
      </c>
      <c r="U7" t="s">
        <v>98</v>
      </c>
      <c r="V7" t="s">
        <v>93</v>
      </c>
    </row>
    <row r="8" spans="1:22" ht="17.25" x14ac:dyDescent="0.35">
      <c r="A8" s="2"/>
      <c r="D8" s="83" t="s">
        <v>108</v>
      </c>
      <c r="E8" s="84">
        <v>0.25</v>
      </c>
      <c r="G8" s="145" t="s">
        <v>109</v>
      </c>
      <c r="V8" t="s">
        <v>86</v>
      </c>
    </row>
    <row r="9" spans="1:22" ht="17.25" x14ac:dyDescent="0.35">
      <c r="D9" s="2"/>
      <c r="G9" s="146" t="s">
        <v>110</v>
      </c>
      <c r="V9" t="s">
        <v>94</v>
      </c>
    </row>
    <row r="10" spans="1:22" ht="17.25" x14ac:dyDescent="0.35">
      <c r="B10" s="2" t="s">
        <v>111</v>
      </c>
      <c r="E10" s="143"/>
      <c r="F10" s="5"/>
      <c r="G10" s="5"/>
      <c r="H10" s="5"/>
      <c r="V10" t="s">
        <v>95</v>
      </c>
    </row>
    <row r="11" spans="1:22" x14ac:dyDescent="0.35">
      <c r="D11" s="5"/>
      <c r="E11" s="5"/>
      <c r="F11" s="7"/>
      <c r="G11" s="5"/>
      <c r="H11" s="5"/>
    </row>
    <row r="12" spans="1:22" x14ac:dyDescent="0.35">
      <c r="D12" s="5" t="s">
        <v>112</v>
      </c>
      <c r="E12" s="85">
        <f>INDEX(E6:E8,MATCH(Checklist!$E$16,Fund,0))</f>
        <v>0.17499999999999999</v>
      </c>
      <c r="F12" s="5"/>
      <c r="K12" s="5"/>
    </row>
    <row r="13" spans="1:22" x14ac:dyDescent="0.35">
      <c r="D13" s="5" t="s">
        <v>113</v>
      </c>
      <c r="E13" s="87">
        <v>0</v>
      </c>
      <c r="F13" s="5"/>
    </row>
    <row r="14" spans="1:22" ht="19.5" x14ac:dyDescent="0.35">
      <c r="D14" s="3"/>
    </row>
    <row r="15" spans="1:22" ht="20.25" thickBot="1" x14ac:dyDescent="0.4">
      <c r="B15" s="3" t="s">
        <v>114</v>
      </c>
      <c r="N15" s="132" t="s">
        <v>115</v>
      </c>
    </row>
    <row r="16" spans="1:22" ht="16.5" thickBot="1" x14ac:dyDescent="0.4">
      <c r="F16" s="54">
        <v>5.45E-2</v>
      </c>
      <c r="G16" s="55">
        <v>0.17499999999999999</v>
      </c>
      <c r="H16" s="55">
        <v>0.01</v>
      </c>
      <c r="I16" s="55">
        <v>2.87E-2</v>
      </c>
      <c r="J16" s="55">
        <v>1.2500000000000001E-2</v>
      </c>
      <c r="K16" s="55">
        <v>0.17</v>
      </c>
      <c r="L16" s="55">
        <v>5.45E-2</v>
      </c>
      <c r="M16" s="4"/>
      <c r="N16" s="4"/>
      <c r="O16" s="4"/>
      <c r="P16" s="4"/>
      <c r="Q16" s="4">
        <v>12</v>
      </c>
      <c r="R16" s="4">
        <v>5</v>
      </c>
      <c r="S16" s="56">
        <v>220</v>
      </c>
      <c r="T16" s="57">
        <f>35/5</f>
        <v>7</v>
      </c>
    </row>
    <row r="17" spans="4:20" ht="30.75" thickBot="1" x14ac:dyDescent="0.4">
      <c r="D17" s="49" t="s">
        <v>116</v>
      </c>
      <c r="E17" s="50" t="s">
        <v>275</v>
      </c>
      <c r="F17" s="51" t="s">
        <v>117</v>
      </c>
      <c r="G17" s="51" t="s">
        <v>118</v>
      </c>
      <c r="H17" s="51" t="s">
        <v>119</v>
      </c>
      <c r="I17" s="51" t="s">
        <v>120</v>
      </c>
      <c r="J17" s="51" t="s">
        <v>121</v>
      </c>
      <c r="K17" s="51" t="s">
        <v>122</v>
      </c>
      <c r="L17" s="51" t="s">
        <v>123</v>
      </c>
      <c r="M17" s="51" t="s">
        <v>124</v>
      </c>
      <c r="N17" s="51" t="s">
        <v>125</v>
      </c>
      <c r="O17" s="52" t="s">
        <v>126</v>
      </c>
      <c r="P17" s="52" t="s">
        <v>127</v>
      </c>
      <c r="Q17" s="52" t="s">
        <v>128</v>
      </c>
      <c r="R17" s="52" t="s">
        <v>129</v>
      </c>
      <c r="S17" s="52" t="s">
        <v>130</v>
      </c>
      <c r="T17" s="53" t="s">
        <v>131</v>
      </c>
    </row>
    <row r="18" spans="4:20" x14ac:dyDescent="0.35">
      <c r="D18" s="43" t="s">
        <v>132</v>
      </c>
      <c r="E18" s="44">
        <v>50192.160000000003</v>
      </c>
      <c r="F18" s="45">
        <f t="shared" ref="F18:F49" si="0">$E18*F$16</f>
        <v>2735.4727200000002</v>
      </c>
      <c r="G18" s="45">
        <f>$E18*G$16*4/52</f>
        <v>675.66369230769237</v>
      </c>
      <c r="H18" s="45">
        <f t="shared" ref="H18:K37" si="1">$E18*H$16</f>
        <v>501.92160000000007</v>
      </c>
      <c r="I18" s="45">
        <f t="shared" si="1"/>
        <v>1440.5149920000001</v>
      </c>
      <c r="J18" s="45">
        <f t="shared" si="1"/>
        <v>627.40200000000004</v>
      </c>
      <c r="K18" s="45">
        <f t="shared" si="1"/>
        <v>8532.6672000000017</v>
      </c>
      <c r="L18" s="45">
        <f>$K18*L$16</f>
        <v>465.03036240000012</v>
      </c>
      <c r="M18" s="45">
        <f t="shared" ref="M18:M49" si="2">SUM(E18:L18)</f>
        <v>65170.832566707701</v>
      </c>
      <c r="N18" s="131">
        <f>Lookups!$E$12*$E$10</f>
        <v>0</v>
      </c>
      <c r="O18" s="46">
        <f>$M18*(1+N18)</f>
        <v>65170.832566707701</v>
      </c>
      <c r="P18" s="46">
        <f>O18/(1-Lookups!$E$13)</f>
        <v>65170.832566707701</v>
      </c>
      <c r="Q18" s="47">
        <f>$P18/Q$16</f>
        <v>5430.9027138923084</v>
      </c>
      <c r="R18" s="46">
        <f>S18*R$16</f>
        <v>1481.1552856069932</v>
      </c>
      <c r="S18" s="47">
        <f>$P18/S$16</f>
        <v>296.23105712139863</v>
      </c>
      <c r="T18" s="48">
        <f>S18/T$16</f>
        <v>42.318722445914091</v>
      </c>
    </row>
    <row r="19" spans="4:20" x14ac:dyDescent="0.35">
      <c r="D19" s="35" t="s">
        <v>133</v>
      </c>
      <c r="E19" s="31">
        <v>51523.26</v>
      </c>
      <c r="F19" s="32">
        <f t="shared" si="0"/>
        <v>2808.0176700000002</v>
      </c>
      <c r="G19" s="32">
        <f t="shared" ref="G19:G82" si="3">$E19*G$16*4/52</f>
        <v>693.58234615384617</v>
      </c>
      <c r="H19" s="32">
        <f t="shared" si="1"/>
        <v>515.23260000000005</v>
      </c>
      <c r="I19" s="32">
        <f t="shared" si="1"/>
        <v>1478.717562</v>
      </c>
      <c r="J19" s="32">
        <f t="shared" si="1"/>
        <v>644.04075000000012</v>
      </c>
      <c r="K19" s="32">
        <f t="shared" si="1"/>
        <v>8758.9542000000001</v>
      </c>
      <c r="L19" s="32">
        <f t="shared" ref="L19:L49" si="4">$K19*L$16</f>
        <v>477.36300390000002</v>
      </c>
      <c r="M19" s="32">
        <f t="shared" si="2"/>
        <v>66899.168132053848</v>
      </c>
      <c r="N19" s="131">
        <f>Lookups!$E$12*$E$10</f>
        <v>0</v>
      </c>
      <c r="O19" s="33">
        <f t="shared" ref="O19:O81" si="5">$M19*(1+N19)</f>
        <v>66899.168132053848</v>
      </c>
      <c r="P19" s="33">
        <f>O19/(1-Lookups!$E$13)</f>
        <v>66899.168132053848</v>
      </c>
      <c r="Q19" s="34">
        <f t="shared" ref="Q19:Q49" si="6">$P19/Q$16</f>
        <v>5574.9306776711537</v>
      </c>
      <c r="R19" s="33">
        <f t="shared" ref="R19:R81" si="7">S19*R$16</f>
        <v>1520.43563936486</v>
      </c>
      <c r="S19" s="34">
        <f t="shared" ref="S19:S49" si="8">$P19/S$16</f>
        <v>304.08712787297202</v>
      </c>
      <c r="T19" s="36">
        <f t="shared" ref="T19:T81" si="9">S19/T$16</f>
        <v>43.441018267567429</v>
      </c>
    </row>
    <row r="20" spans="4:20" x14ac:dyDescent="0.35">
      <c r="D20" s="35" t="s">
        <v>134</v>
      </c>
      <c r="E20" s="31">
        <v>52852.32</v>
      </c>
      <c r="F20" s="32">
        <f t="shared" si="0"/>
        <v>2880.4514399999998</v>
      </c>
      <c r="G20" s="32">
        <f t="shared" si="3"/>
        <v>711.4735384615384</v>
      </c>
      <c r="H20" s="32">
        <f t="shared" si="1"/>
        <v>528.52319999999997</v>
      </c>
      <c r="I20" s="32">
        <f t="shared" si="1"/>
        <v>1516.861584</v>
      </c>
      <c r="J20" s="32">
        <f t="shared" si="1"/>
        <v>660.654</v>
      </c>
      <c r="K20" s="32">
        <f t="shared" si="1"/>
        <v>8984.894400000001</v>
      </c>
      <c r="L20" s="32">
        <f t="shared" si="4"/>
        <v>489.67674480000005</v>
      </c>
      <c r="M20" s="32">
        <f t="shared" si="2"/>
        <v>68624.854907261542</v>
      </c>
      <c r="N20" s="131">
        <f>Lookups!$E$12*$E$10</f>
        <v>0</v>
      </c>
      <c r="O20" s="33">
        <f t="shared" si="5"/>
        <v>68624.854907261542</v>
      </c>
      <c r="P20" s="33">
        <f>O20/(1-Lookups!$E$13)</f>
        <v>68624.854907261542</v>
      </c>
      <c r="Q20" s="34">
        <f t="shared" si="6"/>
        <v>5718.7379089384622</v>
      </c>
      <c r="R20" s="33">
        <f t="shared" si="7"/>
        <v>1559.6557933468532</v>
      </c>
      <c r="S20" s="34">
        <f t="shared" si="8"/>
        <v>311.93115866937063</v>
      </c>
      <c r="T20" s="36">
        <f>S20/T$16</f>
        <v>44.561594095624379</v>
      </c>
    </row>
    <row r="21" spans="4:20" x14ac:dyDescent="0.35">
      <c r="D21" s="35" t="s">
        <v>135</v>
      </c>
      <c r="E21" s="31">
        <v>54186.48</v>
      </c>
      <c r="F21" s="32">
        <f t="shared" si="0"/>
        <v>2953.1631600000001</v>
      </c>
      <c r="G21" s="32">
        <f t="shared" si="3"/>
        <v>729.43338461538463</v>
      </c>
      <c r="H21" s="32">
        <f t="shared" si="1"/>
        <v>541.86480000000006</v>
      </c>
      <c r="I21" s="32">
        <f t="shared" si="1"/>
        <v>1555.1519760000001</v>
      </c>
      <c r="J21" s="32">
        <f t="shared" si="1"/>
        <v>677.33100000000013</v>
      </c>
      <c r="K21" s="32">
        <f t="shared" si="1"/>
        <v>9211.7016000000003</v>
      </c>
      <c r="L21" s="32">
        <f t="shared" si="4"/>
        <v>502.03773720000004</v>
      </c>
      <c r="M21" s="32">
        <f t="shared" si="2"/>
        <v>70357.163657815385</v>
      </c>
      <c r="N21" s="131">
        <f>Lookups!$E$12*$E$10</f>
        <v>0</v>
      </c>
      <c r="O21" s="33">
        <f t="shared" si="5"/>
        <v>70357.163657815385</v>
      </c>
      <c r="P21" s="33">
        <f>O21/(1-Lookups!$E$13)</f>
        <v>70357.163657815385</v>
      </c>
      <c r="Q21" s="34">
        <f t="shared" si="6"/>
        <v>5863.0969714846151</v>
      </c>
      <c r="R21" s="33">
        <f t="shared" si="7"/>
        <v>1599.0264467685315</v>
      </c>
      <c r="S21" s="34">
        <f t="shared" si="8"/>
        <v>319.80528935370631</v>
      </c>
      <c r="T21" s="36">
        <f t="shared" si="9"/>
        <v>45.686469907672333</v>
      </c>
    </row>
    <row r="22" spans="4:20" x14ac:dyDescent="0.35">
      <c r="D22" s="35" t="s">
        <v>136</v>
      </c>
      <c r="E22" s="31">
        <v>54186.48</v>
      </c>
      <c r="F22" s="32">
        <f t="shared" si="0"/>
        <v>2953.1631600000001</v>
      </c>
      <c r="G22" s="32">
        <f t="shared" si="3"/>
        <v>729.43338461538463</v>
      </c>
      <c r="H22" s="32">
        <f t="shared" si="1"/>
        <v>541.86480000000006</v>
      </c>
      <c r="I22" s="32">
        <f t="shared" si="1"/>
        <v>1555.1519760000001</v>
      </c>
      <c r="J22" s="32">
        <f t="shared" si="1"/>
        <v>677.33100000000013</v>
      </c>
      <c r="K22" s="32">
        <f t="shared" si="1"/>
        <v>9211.7016000000003</v>
      </c>
      <c r="L22" s="32">
        <f t="shared" si="4"/>
        <v>502.03773720000004</v>
      </c>
      <c r="M22" s="32">
        <f t="shared" si="2"/>
        <v>70357.163657815385</v>
      </c>
      <c r="N22" s="131">
        <f>Lookups!$E$12*$E$10</f>
        <v>0</v>
      </c>
      <c r="O22" s="33">
        <f t="shared" si="5"/>
        <v>70357.163657815385</v>
      </c>
      <c r="P22" s="33">
        <f>O22/(1-Lookups!$E$13)</f>
        <v>70357.163657815385</v>
      </c>
      <c r="Q22" s="34">
        <f t="shared" si="6"/>
        <v>5863.0969714846151</v>
      </c>
      <c r="R22" s="33">
        <f t="shared" si="7"/>
        <v>1599.0264467685315</v>
      </c>
      <c r="S22" s="34">
        <f t="shared" si="8"/>
        <v>319.80528935370631</v>
      </c>
      <c r="T22" s="36">
        <f t="shared" si="9"/>
        <v>45.686469907672333</v>
      </c>
    </row>
    <row r="23" spans="4:20" x14ac:dyDescent="0.35">
      <c r="D23" s="35" t="s">
        <v>137</v>
      </c>
      <c r="E23" s="31">
        <v>55610.400000000001</v>
      </c>
      <c r="F23" s="32">
        <f t="shared" si="0"/>
        <v>3030.7667999999999</v>
      </c>
      <c r="G23" s="32">
        <f t="shared" si="3"/>
        <v>748.60153846153844</v>
      </c>
      <c r="H23" s="32">
        <f t="shared" si="1"/>
        <v>556.10400000000004</v>
      </c>
      <c r="I23" s="32">
        <f t="shared" si="1"/>
        <v>1596.01848</v>
      </c>
      <c r="J23" s="32">
        <f t="shared" si="1"/>
        <v>695.13000000000011</v>
      </c>
      <c r="K23" s="32">
        <f t="shared" si="1"/>
        <v>9453.768</v>
      </c>
      <c r="L23" s="32">
        <f t="shared" si="4"/>
        <v>515.23035600000003</v>
      </c>
      <c r="M23" s="32">
        <f t="shared" si="2"/>
        <v>72206.019174461529</v>
      </c>
      <c r="N23" s="131">
        <f>Lookups!$E$12*$E$10</f>
        <v>0</v>
      </c>
      <c r="O23" s="33">
        <f t="shared" si="5"/>
        <v>72206.019174461529</v>
      </c>
      <c r="P23" s="33">
        <f>O23/(1-Lookups!$E$13)</f>
        <v>72206.019174461529</v>
      </c>
      <c r="Q23" s="34">
        <f t="shared" si="6"/>
        <v>6017.1682645384608</v>
      </c>
      <c r="R23" s="33">
        <f t="shared" si="7"/>
        <v>1641.0458903286712</v>
      </c>
      <c r="S23" s="34">
        <f t="shared" si="8"/>
        <v>328.20917806573425</v>
      </c>
      <c r="T23" s="36">
        <f t="shared" si="9"/>
        <v>46.887025437962038</v>
      </c>
    </row>
    <row r="24" spans="4:20" x14ac:dyDescent="0.35">
      <c r="D24" s="35" t="s">
        <v>138</v>
      </c>
      <c r="E24" s="31">
        <v>57037.38</v>
      </c>
      <c r="F24" s="32">
        <f t="shared" si="0"/>
        <v>3108.53721</v>
      </c>
      <c r="G24" s="32">
        <f t="shared" si="3"/>
        <v>767.81088461538457</v>
      </c>
      <c r="H24" s="32">
        <f t="shared" si="1"/>
        <v>570.37379999999996</v>
      </c>
      <c r="I24" s="32">
        <f t="shared" si="1"/>
        <v>1636.972806</v>
      </c>
      <c r="J24" s="32">
        <f t="shared" si="1"/>
        <v>712.96725000000004</v>
      </c>
      <c r="K24" s="32">
        <f t="shared" si="1"/>
        <v>9696.3546000000006</v>
      </c>
      <c r="L24" s="32">
        <f t="shared" si="4"/>
        <v>528.45132569999998</v>
      </c>
      <c r="M24" s="32">
        <f t="shared" si="2"/>
        <v>74058.847876315398</v>
      </c>
      <c r="N24" s="131">
        <f>Lookups!$E$12*$E$10</f>
        <v>0</v>
      </c>
      <c r="O24" s="33">
        <f t="shared" si="5"/>
        <v>74058.847876315398</v>
      </c>
      <c r="P24" s="33">
        <f>O24/(1-Lookups!$E$13)</f>
        <v>74058.847876315398</v>
      </c>
      <c r="Q24" s="34">
        <f t="shared" si="6"/>
        <v>6171.5706563596168</v>
      </c>
      <c r="R24" s="33">
        <f t="shared" si="7"/>
        <v>1683.1556335526227</v>
      </c>
      <c r="S24" s="34">
        <f t="shared" si="8"/>
        <v>336.63112671052454</v>
      </c>
      <c r="T24" s="36">
        <f t="shared" si="9"/>
        <v>48.090160958646365</v>
      </c>
    </row>
    <row r="25" spans="4:20" x14ac:dyDescent="0.35">
      <c r="D25" s="35" t="s">
        <v>139</v>
      </c>
      <c r="E25" s="31">
        <v>57037.38</v>
      </c>
      <c r="F25" s="32">
        <f t="shared" si="0"/>
        <v>3108.53721</v>
      </c>
      <c r="G25" s="32">
        <f t="shared" si="3"/>
        <v>767.81088461538457</v>
      </c>
      <c r="H25" s="32">
        <f t="shared" si="1"/>
        <v>570.37379999999996</v>
      </c>
      <c r="I25" s="32">
        <f t="shared" si="1"/>
        <v>1636.972806</v>
      </c>
      <c r="J25" s="32">
        <f t="shared" si="1"/>
        <v>712.96725000000004</v>
      </c>
      <c r="K25" s="32">
        <f t="shared" si="1"/>
        <v>9696.3546000000006</v>
      </c>
      <c r="L25" s="32">
        <f t="shared" si="4"/>
        <v>528.45132569999998</v>
      </c>
      <c r="M25" s="32">
        <f t="shared" si="2"/>
        <v>74058.847876315398</v>
      </c>
      <c r="N25" s="131">
        <f>Lookups!$E$12*$E$10</f>
        <v>0</v>
      </c>
      <c r="O25" s="33">
        <f t="shared" si="5"/>
        <v>74058.847876315398</v>
      </c>
      <c r="P25" s="33">
        <f>O25/(1-Lookups!$E$13)</f>
        <v>74058.847876315398</v>
      </c>
      <c r="Q25" s="34">
        <f t="shared" si="6"/>
        <v>6171.5706563596168</v>
      </c>
      <c r="R25" s="33">
        <f t="shared" si="7"/>
        <v>1683.1556335526227</v>
      </c>
      <c r="S25" s="34">
        <f t="shared" si="8"/>
        <v>336.63112671052454</v>
      </c>
      <c r="T25" s="36">
        <f t="shared" si="9"/>
        <v>48.090160958646365</v>
      </c>
    </row>
    <row r="26" spans="4:20" x14ac:dyDescent="0.35">
      <c r="D26" s="35" t="s">
        <v>140</v>
      </c>
      <c r="E26" s="31">
        <v>59625.120000000003</v>
      </c>
      <c r="F26" s="32">
        <f t="shared" si="0"/>
        <v>3249.5690400000003</v>
      </c>
      <c r="G26" s="32">
        <f t="shared" si="3"/>
        <v>802.64584615384615</v>
      </c>
      <c r="H26" s="32">
        <f t="shared" si="1"/>
        <v>596.25120000000004</v>
      </c>
      <c r="I26" s="32">
        <f t="shared" si="1"/>
        <v>1711.2409440000001</v>
      </c>
      <c r="J26" s="32">
        <f t="shared" si="1"/>
        <v>745.31400000000008</v>
      </c>
      <c r="K26" s="32">
        <f t="shared" si="1"/>
        <v>10136.270400000001</v>
      </c>
      <c r="L26" s="32">
        <f t="shared" si="4"/>
        <v>552.42673680000007</v>
      </c>
      <c r="M26" s="32">
        <f t="shared" si="2"/>
        <v>77418.83816695385</v>
      </c>
      <c r="N26" s="131">
        <f>Lookups!$E$12*$E$10</f>
        <v>0</v>
      </c>
      <c r="O26" s="33">
        <f t="shared" si="5"/>
        <v>77418.83816695385</v>
      </c>
      <c r="P26" s="33">
        <f>O26/(1-Lookups!$E$13)</f>
        <v>77418.83816695385</v>
      </c>
      <c r="Q26" s="34">
        <f t="shared" si="6"/>
        <v>6451.5698472461545</v>
      </c>
      <c r="R26" s="33">
        <f t="shared" si="7"/>
        <v>1759.519049248951</v>
      </c>
      <c r="S26" s="34">
        <f t="shared" si="8"/>
        <v>351.90380984979021</v>
      </c>
      <c r="T26" s="36">
        <f t="shared" si="9"/>
        <v>50.271972835684316</v>
      </c>
    </row>
    <row r="27" spans="4:20" x14ac:dyDescent="0.35">
      <c r="D27" s="35" t="s">
        <v>141</v>
      </c>
      <c r="E27" s="31">
        <v>63078.840000000004</v>
      </c>
      <c r="F27" s="32">
        <f t="shared" si="0"/>
        <v>3437.7967800000001</v>
      </c>
      <c r="G27" s="32">
        <f t="shared" si="3"/>
        <v>849.13823076923086</v>
      </c>
      <c r="H27" s="32">
        <f t="shared" si="1"/>
        <v>630.78840000000002</v>
      </c>
      <c r="I27" s="32">
        <f t="shared" si="1"/>
        <v>1810.3627080000001</v>
      </c>
      <c r="J27" s="32">
        <f t="shared" si="1"/>
        <v>788.48550000000012</v>
      </c>
      <c r="K27" s="32">
        <f t="shared" si="1"/>
        <v>10723.402800000002</v>
      </c>
      <c r="L27" s="32">
        <f t="shared" si="4"/>
        <v>584.42545260000009</v>
      </c>
      <c r="M27" s="32">
        <f t="shared" si="2"/>
        <v>81903.239871369224</v>
      </c>
      <c r="N27" s="131">
        <f>Lookups!$E$12*$E$10</f>
        <v>0</v>
      </c>
      <c r="O27" s="33">
        <f t="shared" si="5"/>
        <v>81903.239871369224</v>
      </c>
      <c r="P27" s="33">
        <f>O27/(1-Lookups!$E$13)</f>
        <v>81903.239871369224</v>
      </c>
      <c r="Q27" s="34">
        <f t="shared" si="6"/>
        <v>6825.2699892807686</v>
      </c>
      <c r="R27" s="33">
        <f t="shared" si="7"/>
        <v>1861.437269803846</v>
      </c>
      <c r="S27" s="34">
        <f t="shared" si="8"/>
        <v>372.2874539607692</v>
      </c>
      <c r="T27" s="36">
        <f t="shared" si="9"/>
        <v>53.183921994395597</v>
      </c>
    </row>
    <row r="28" spans="4:20" x14ac:dyDescent="0.35">
      <c r="D28" s="35" t="s">
        <v>142</v>
      </c>
      <c r="E28" s="31">
        <v>65591.100000000006</v>
      </c>
      <c r="F28" s="32">
        <f t="shared" si="0"/>
        <v>3574.7149500000005</v>
      </c>
      <c r="G28" s="32">
        <f t="shared" si="3"/>
        <v>882.95711538461546</v>
      </c>
      <c r="H28" s="32">
        <f t="shared" si="1"/>
        <v>655.91100000000006</v>
      </c>
      <c r="I28" s="32">
        <f t="shared" si="1"/>
        <v>1882.4645700000001</v>
      </c>
      <c r="J28" s="32">
        <f t="shared" si="1"/>
        <v>819.88875000000007</v>
      </c>
      <c r="K28" s="32">
        <f t="shared" si="1"/>
        <v>11150.487000000001</v>
      </c>
      <c r="L28" s="32">
        <f t="shared" si="4"/>
        <v>607.70154150000008</v>
      </c>
      <c r="M28" s="32">
        <f t="shared" si="2"/>
        <v>85165.224926884621</v>
      </c>
      <c r="N28" s="131">
        <f>Lookups!$E$12*$E$10</f>
        <v>0</v>
      </c>
      <c r="O28" s="33">
        <f t="shared" si="5"/>
        <v>85165.224926884621</v>
      </c>
      <c r="P28" s="33">
        <f>O28/(1-Lookups!$E$13)</f>
        <v>85165.224926884621</v>
      </c>
      <c r="Q28" s="34">
        <f t="shared" si="6"/>
        <v>7097.1020772403854</v>
      </c>
      <c r="R28" s="33">
        <f t="shared" si="7"/>
        <v>1935.5732937928324</v>
      </c>
      <c r="S28" s="34">
        <f t="shared" si="8"/>
        <v>387.11465875856646</v>
      </c>
      <c r="T28" s="36">
        <f t="shared" si="9"/>
        <v>55.302094108366639</v>
      </c>
    </row>
    <row r="29" spans="4:20" x14ac:dyDescent="0.35">
      <c r="D29" s="35" t="s">
        <v>143</v>
      </c>
      <c r="E29" s="31">
        <v>65591.100000000006</v>
      </c>
      <c r="F29" s="32">
        <f t="shared" si="0"/>
        <v>3574.7149500000005</v>
      </c>
      <c r="G29" s="32">
        <f t="shared" si="3"/>
        <v>882.95711538461546</v>
      </c>
      <c r="H29" s="32">
        <f t="shared" si="1"/>
        <v>655.91100000000006</v>
      </c>
      <c r="I29" s="32">
        <f t="shared" si="1"/>
        <v>1882.4645700000001</v>
      </c>
      <c r="J29" s="32">
        <f t="shared" si="1"/>
        <v>819.88875000000007</v>
      </c>
      <c r="K29" s="32">
        <f t="shared" si="1"/>
        <v>11150.487000000001</v>
      </c>
      <c r="L29" s="32">
        <f t="shared" si="4"/>
        <v>607.70154150000008</v>
      </c>
      <c r="M29" s="32">
        <f t="shared" si="2"/>
        <v>85165.224926884621</v>
      </c>
      <c r="N29" s="131">
        <f>Lookups!$E$12*$E$10</f>
        <v>0</v>
      </c>
      <c r="O29" s="33">
        <f t="shared" si="5"/>
        <v>85165.224926884621</v>
      </c>
      <c r="P29" s="33">
        <f>O29/(1-Lookups!$E$13)</f>
        <v>85165.224926884621</v>
      </c>
      <c r="Q29" s="34">
        <f t="shared" si="6"/>
        <v>7097.1020772403854</v>
      </c>
      <c r="R29" s="33">
        <f t="shared" si="7"/>
        <v>1935.5732937928324</v>
      </c>
      <c r="S29" s="34">
        <f t="shared" si="8"/>
        <v>387.11465875856646</v>
      </c>
      <c r="T29" s="36">
        <f t="shared" si="9"/>
        <v>55.302094108366639</v>
      </c>
    </row>
    <row r="30" spans="4:20" x14ac:dyDescent="0.35">
      <c r="D30" s="35" t="s">
        <v>144</v>
      </c>
      <c r="E30" s="31">
        <v>67492.38</v>
      </c>
      <c r="F30" s="32">
        <f t="shared" si="0"/>
        <v>3678.3347100000001</v>
      </c>
      <c r="G30" s="32">
        <f t="shared" si="3"/>
        <v>908.55126923076921</v>
      </c>
      <c r="H30" s="32">
        <f t="shared" si="1"/>
        <v>674.92380000000003</v>
      </c>
      <c r="I30" s="32">
        <f t="shared" si="1"/>
        <v>1937.0313060000001</v>
      </c>
      <c r="J30" s="32">
        <f t="shared" si="1"/>
        <v>843.65475000000015</v>
      </c>
      <c r="K30" s="32">
        <f t="shared" si="1"/>
        <v>11473.704600000001</v>
      </c>
      <c r="L30" s="32">
        <f t="shared" si="4"/>
        <v>625.31690070000002</v>
      </c>
      <c r="M30" s="32">
        <f t="shared" si="2"/>
        <v>87633.897335930771</v>
      </c>
      <c r="N30" s="131">
        <f>Lookups!$E$12*$E$10</f>
        <v>0</v>
      </c>
      <c r="O30" s="33">
        <f t="shared" si="5"/>
        <v>87633.897335930771</v>
      </c>
      <c r="P30" s="33">
        <f>O30/(1-Lookups!$E$13)</f>
        <v>87633.897335930771</v>
      </c>
      <c r="Q30" s="34">
        <f t="shared" si="6"/>
        <v>7302.8247779942312</v>
      </c>
      <c r="R30" s="33">
        <f t="shared" si="7"/>
        <v>1991.6794849075175</v>
      </c>
      <c r="S30" s="34">
        <f t="shared" si="8"/>
        <v>398.33589698150348</v>
      </c>
      <c r="T30" s="36">
        <f t="shared" si="9"/>
        <v>56.905128140214785</v>
      </c>
    </row>
    <row r="31" spans="4:20" x14ac:dyDescent="0.35">
      <c r="D31" s="35" t="s">
        <v>145</v>
      </c>
      <c r="E31" s="31">
        <v>69393.66</v>
      </c>
      <c r="F31" s="32">
        <f t="shared" si="0"/>
        <v>3781.9544700000001</v>
      </c>
      <c r="G31" s="32">
        <f t="shared" si="3"/>
        <v>934.14542307692307</v>
      </c>
      <c r="H31" s="32">
        <f t="shared" si="1"/>
        <v>693.9366</v>
      </c>
      <c r="I31" s="32">
        <f t="shared" si="1"/>
        <v>1991.5980420000001</v>
      </c>
      <c r="J31" s="32">
        <f t="shared" si="1"/>
        <v>867.42075000000011</v>
      </c>
      <c r="K31" s="32">
        <f t="shared" si="1"/>
        <v>11796.922200000001</v>
      </c>
      <c r="L31" s="32">
        <f t="shared" si="4"/>
        <v>642.93225990000008</v>
      </c>
      <c r="M31" s="32">
        <f t="shared" si="2"/>
        <v>90102.569744976921</v>
      </c>
      <c r="N31" s="131">
        <f>Lookups!$E$12*$E$10</f>
        <v>0</v>
      </c>
      <c r="O31" s="33">
        <f t="shared" si="5"/>
        <v>90102.569744976921</v>
      </c>
      <c r="P31" s="33">
        <f>O31/(1-Lookups!$E$13)</f>
        <v>90102.569744976921</v>
      </c>
      <c r="Q31" s="34">
        <f t="shared" si="6"/>
        <v>7508.5474787480771</v>
      </c>
      <c r="R31" s="33">
        <f t="shared" si="7"/>
        <v>2047.7856760222028</v>
      </c>
      <c r="S31" s="34">
        <f t="shared" si="8"/>
        <v>409.55713520444056</v>
      </c>
      <c r="T31" s="36">
        <f t="shared" si="9"/>
        <v>58.508162172062939</v>
      </c>
    </row>
    <row r="32" spans="4:20" x14ac:dyDescent="0.35">
      <c r="D32" s="35" t="s">
        <v>146</v>
      </c>
      <c r="E32" s="31">
        <v>71298</v>
      </c>
      <c r="F32" s="32">
        <f t="shared" si="0"/>
        <v>3885.741</v>
      </c>
      <c r="G32" s="32">
        <f t="shared" si="3"/>
        <v>959.78076923076924</v>
      </c>
      <c r="H32" s="32">
        <f t="shared" si="1"/>
        <v>712.98</v>
      </c>
      <c r="I32" s="32">
        <f t="shared" si="1"/>
        <v>2046.2526</v>
      </c>
      <c r="J32" s="32">
        <f t="shared" si="1"/>
        <v>891.22500000000002</v>
      </c>
      <c r="K32" s="32">
        <f t="shared" si="1"/>
        <v>12120.660000000002</v>
      </c>
      <c r="L32" s="32">
        <f t="shared" si="4"/>
        <v>660.5759700000001</v>
      </c>
      <c r="M32" s="32">
        <f t="shared" si="2"/>
        <v>92575.215339230781</v>
      </c>
      <c r="N32" s="131">
        <f>Lookups!$E$12*$E$10</f>
        <v>0</v>
      </c>
      <c r="O32" s="33">
        <f t="shared" si="5"/>
        <v>92575.215339230781</v>
      </c>
      <c r="P32" s="33">
        <f>O32/(1-Lookups!$E$13)</f>
        <v>92575.215339230781</v>
      </c>
      <c r="Q32" s="34">
        <f t="shared" si="6"/>
        <v>7714.6012782692314</v>
      </c>
      <c r="R32" s="33">
        <f t="shared" si="7"/>
        <v>2103.9821668006998</v>
      </c>
      <c r="S32" s="34">
        <f t="shared" si="8"/>
        <v>420.79643336013993</v>
      </c>
      <c r="T32" s="36">
        <f t="shared" si="9"/>
        <v>60.113776194305707</v>
      </c>
    </row>
    <row r="33" spans="4:20" x14ac:dyDescent="0.35">
      <c r="D33" s="35" t="s">
        <v>147</v>
      </c>
      <c r="E33" s="31">
        <v>71298</v>
      </c>
      <c r="F33" s="32">
        <f t="shared" si="0"/>
        <v>3885.741</v>
      </c>
      <c r="G33" s="32">
        <f t="shared" si="3"/>
        <v>959.78076923076924</v>
      </c>
      <c r="H33" s="32">
        <f t="shared" si="1"/>
        <v>712.98</v>
      </c>
      <c r="I33" s="32">
        <f t="shared" si="1"/>
        <v>2046.2526</v>
      </c>
      <c r="J33" s="32">
        <f t="shared" si="1"/>
        <v>891.22500000000002</v>
      </c>
      <c r="K33" s="32">
        <f t="shared" si="1"/>
        <v>12120.660000000002</v>
      </c>
      <c r="L33" s="32">
        <f t="shared" si="4"/>
        <v>660.5759700000001</v>
      </c>
      <c r="M33" s="32">
        <f t="shared" si="2"/>
        <v>92575.215339230781</v>
      </c>
      <c r="N33" s="131">
        <f>Lookups!$E$12*$E$10</f>
        <v>0</v>
      </c>
      <c r="O33" s="33">
        <f t="shared" si="5"/>
        <v>92575.215339230781</v>
      </c>
      <c r="P33" s="33">
        <f>O33/(1-Lookups!$E$13)</f>
        <v>92575.215339230781</v>
      </c>
      <c r="Q33" s="34">
        <f t="shared" si="6"/>
        <v>7714.6012782692314</v>
      </c>
      <c r="R33" s="33">
        <f t="shared" si="7"/>
        <v>2103.9821668006998</v>
      </c>
      <c r="S33" s="34">
        <f t="shared" si="8"/>
        <v>420.79643336013993</v>
      </c>
      <c r="T33" s="36">
        <f t="shared" si="9"/>
        <v>60.113776194305707</v>
      </c>
    </row>
    <row r="34" spans="4:20" x14ac:dyDescent="0.35">
      <c r="D34" s="35" t="s">
        <v>148</v>
      </c>
      <c r="E34" s="31">
        <v>73600.14</v>
      </c>
      <c r="F34" s="32">
        <f t="shared" si="0"/>
        <v>4011.2076299999999</v>
      </c>
      <c r="G34" s="32">
        <f t="shared" si="3"/>
        <v>990.77111538461531</v>
      </c>
      <c r="H34" s="32">
        <f t="shared" si="1"/>
        <v>736.00139999999999</v>
      </c>
      <c r="I34" s="32">
        <f t="shared" si="1"/>
        <v>2112.3240179999998</v>
      </c>
      <c r="J34" s="32">
        <f t="shared" si="1"/>
        <v>920.00175000000002</v>
      </c>
      <c r="K34" s="32">
        <f t="shared" si="1"/>
        <v>12512.023800000001</v>
      </c>
      <c r="L34" s="32">
        <f t="shared" si="4"/>
        <v>681.9052971000001</v>
      </c>
      <c r="M34" s="32">
        <f t="shared" si="2"/>
        <v>95564.375010484611</v>
      </c>
      <c r="N34" s="131">
        <f>Lookups!$E$12*$E$10</f>
        <v>0</v>
      </c>
      <c r="O34" s="33">
        <f t="shared" si="5"/>
        <v>95564.375010484611</v>
      </c>
      <c r="P34" s="33">
        <f>O34/(1-Lookups!$E$13)</f>
        <v>95564.375010484611</v>
      </c>
      <c r="Q34" s="34">
        <f t="shared" si="6"/>
        <v>7963.697917540384</v>
      </c>
      <c r="R34" s="33">
        <f t="shared" si="7"/>
        <v>2171.9176138746502</v>
      </c>
      <c r="S34" s="34">
        <f t="shared" si="8"/>
        <v>434.38352277493004</v>
      </c>
      <c r="T34" s="36">
        <f t="shared" si="9"/>
        <v>62.054788967847152</v>
      </c>
    </row>
    <row r="35" spans="4:20" x14ac:dyDescent="0.35">
      <c r="D35" s="35" t="s">
        <v>149</v>
      </c>
      <c r="E35" s="31">
        <v>75897.180000000008</v>
      </c>
      <c r="F35" s="32">
        <f t="shared" si="0"/>
        <v>4136.3963100000001</v>
      </c>
      <c r="G35" s="32">
        <f t="shared" si="3"/>
        <v>1021.6928076923078</v>
      </c>
      <c r="H35" s="32">
        <f t="shared" si="1"/>
        <v>758.97180000000014</v>
      </c>
      <c r="I35" s="32">
        <f t="shared" si="1"/>
        <v>2178.2490660000003</v>
      </c>
      <c r="J35" s="32">
        <f t="shared" si="1"/>
        <v>948.71475000000009</v>
      </c>
      <c r="K35" s="32">
        <f t="shared" si="1"/>
        <v>12902.520600000002</v>
      </c>
      <c r="L35" s="32">
        <f t="shared" si="4"/>
        <v>703.18737270000008</v>
      </c>
      <c r="M35" s="32">
        <f t="shared" si="2"/>
        <v>98546.912706392322</v>
      </c>
      <c r="N35" s="131">
        <f>Lookups!$E$12*$E$10</f>
        <v>0</v>
      </c>
      <c r="O35" s="33">
        <f t="shared" si="5"/>
        <v>98546.912706392322</v>
      </c>
      <c r="P35" s="33">
        <f>O35/(1-Lookups!$E$13)</f>
        <v>98546.912706392322</v>
      </c>
      <c r="Q35" s="34">
        <f t="shared" si="6"/>
        <v>8212.2427255326929</v>
      </c>
      <c r="R35" s="33">
        <f t="shared" si="7"/>
        <v>2239.7025615089165</v>
      </c>
      <c r="S35" s="34">
        <f t="shared" si="8"/>
        <v>447.94051230178326</v>
      </c>
      <c r="T35" s="36">
        <f t="shared" si="9"/>
        <v>63.991501757397607</v>
      </c>
    </row>
    <row r="36" spans="4:20" x14ac:dyDescent="0.35">
      <c r="D36" s="35" t="s">
        <v>150</v>
      </c>
      <c r="E36" s="31">
        <v>78198.3</v>
      </c>
      <c r="F36" s="32">
        <f t="shared" si="0"/>
        <v>4261.80735</v>
      </c>
      <c r="G36" s="32">
        <f t="shared" si="3"/>
        <v>1052.6694230769231</v>
      </c>
      <c r="H36" s="32">
        <f t="shared" si="1"/>
        <v>781.98300000000006</v>
      </c>
      <c r="I36" s="32">
        <f t="shared" si="1"/>
        <v>2244.2912099999999</v>
      </c>
      <c r="J36" s="32">
        <f t="shared" si="1"/>
        <v>977.4787500000001</v>
      </c>
      <c r="K36" s="32">
        <f t="shared" si="1"/>
        <v>13293.711000000001</v>
      </c>
      <c r="L36" s="32">
        <f t="shared" si="4"/>
        <v>724.50724950000006</v>
      </c>
      <c r="M36" s="32">
        <f t="shared" si="2"/>
        <v>101534.74798257691</v>
      </c>
      <c r="N36" s="131">
        <f>Lookups!$E$12*$E$10</f>
        <v>0</v>
      </c>
      <c r="O36" s="33">
        <f t="shared" si="5"/>
        <v>101534.74798257691</v>
      </c>
      <c r="P36" s="33">
        <f>O36/(1-Lookups!$E$13)</f>
        <v>101534.74798257691</v>
      </c>
      <c r="Q36" s="34">
        <f t="shared" si="6"/>
        <v>8461.2289985480766</v>
      </c>
      <c r="R36" s="33">
        <f t="shared" si="7"/>
        <v>2307.6079086949298</v>
      </c>
      <c r="S36" s="34">
        <f t="shared" si="8"/>
        <v>461.52158173898596</v>
      </c>
      <c r="T36" s="36">
        <f t="shared" si="9"/>
        <v>65.931654534140847</v>
      </c>
    </row>
    <row r="37" spans="4:20" x14ac:dyDescent="0.35">
      <c r="D37" s="35" t="s">
        <v>151</v>
      </c>
      <c r="E37" s="31">
        <v>80502.48</v>
      </c>
      <c r="F37" s="32">
        <f t="shared" si="0"/>
        <v>4387.3851599999998</v>
      </c>
      <c r="G37" s="32">
        <f t="shared" si="3"/>
        <v>1083.6872307692306</v>
      </c>
      <c r="H37" s="32">
        <f t="shared" si="1"/>
        <v>805.02480000000003</v>
      </c>
      <c r="I37" s="32">
        <f t="shared" si="1"/>
        <v>2310.4211759999998</v>
      </c>
      <c r="J37" s="32">
        <f t="shared" si="1"/>
        <v>1006.2809999999999</v>
      </c>
      <c r="K37" s="32">
        <f t="shared" si="1"/>
        <v>13685.4216</v>
      </c>
      <c r="L37" s="32">
        <f t="shared" si="4"/>
        <v>745.8554772</v>
      </c>
      <c r="M37" s="32">
        <f t="shared" si="2"/>
        <v>104526.55644396924</v>
      </c>
      <c r="N37" s="131">
        <f>Lookups!$E$12*$E$10</f>
        <v>0</v>
      </c>
      <c r="O37" s="33">
        <f t="shared" si="5"/>
        <v>104526.55644396924</v>
      </c>
      <c r="P37" s="33">
        <f>O37/(1-Lookups!$E$13)</f>
        <v>104526.55644396924</v>
      </c>
      <c r="Q37" s="34">
        <f t="shared" si="6"/>
        <v>8710.5463703307705</v>
      </c>
      <c r="R37" s="33">
        <f t="shared" si="7"/>
        <v>2375.6035555447552</v>
      </c>
      <c r="S37" s="34">
        <f t="shared" si="8"/>
        <v>475.12071110895107</v>
      </c>
      <c r="T37" s="36">
        <f t="shared" si="9"/>
        <v>67.87438730127873</v>
      </c>
    </row>
    <row r="38" spans="4:20" x14ac:dyDescent="0.35">
      <c r="D38" s="35" t="s">
        <v>152</v>
      </c>
      <c r="E38" s="31">
        <v>82706.7</v>
      </c>
      <c r="F38" s="32">
        <f t="shared" si="0"/>
        <v>4507.5151500000002</v>
      </c>
      <c r="G38" s="32">
        <f t="shared" si="3"/>
        <v>1113.3594230769229</v>
      </c>
      <c r="H38" s="32">
        <f t="shared" ref="H38:K57" si="10">$E38*H$16</f>
        <v>827.06700000000001</v>
      </c>
      <c r="I38" s="32">
        <f t="shared" si="10"/>
        <v>2373.6822899999997</v>
      </c>
      <c r="J38" s="32">
        <f t="shared" si="10"/>
        <v>1033.83375</v>
      </c>
      <c r="K38" s="32">
        <f t="shared" si="10"/>
        <v>14060.139000000001</v>
      </c>
      <c r="L38" s="32">
        <f t="shared" si="4"/>
        <v>766.27757550000001</v>
      </c>
      <c r="M38" s="32">
        <f t="shared" si="2"/>
        <v>107388.57418857692</v>
      </c>
      <c r="N38" s="131">
        <f>Lookups!$E$12*$E$10</f>
        <v>0</v>
      </c>
      <c r="O38" s="33">
        <f t="shared" si="5"/>
        <v>107388.57418857692</v>
      </c>
      <c r="P38" s="33">
        <f>O38/(1-Lookups!$E$13)</f>
        <v>107388.57418857692</v>
      </c>
      <c r="Q38" s="34">
        <f t="shared" si="6"/>
        <v>8949.0478490480764</v>
      </c>
      <c r="R38" s="33">
        <f t="shared" si="7"/>
        <v>2440.6494133767483</v>
      </c>
      <c r="S38" s="34">
        <f t="shared" si="8"/>
        <v>488.12988267534968</v>
      </c>
      <c r="T38" s="36">
        <f t="shared" si="9"/>
        <v>69.732840382192805</v>
      </c>
    </row>
    <row r="39" spans="4:20" x14ac:dyDescent="0.35">
      <c r="D39" s="35" t="s">
        <v>153</v>
      </c>
      <c r="E39" s="31">
        <v>82706.7</v>
      </c>
      <c r="F39" s="32">
        <f t="shared" si="0"/>
        <v>4507.5151500000002</v>
      </c>
      <c r="G39" s="32">
        <f t="shared" si="3"/>
        <v>1113.3594230769229</v>
      </c>
      <c r="H39" s="32">
        <f t="shared" si="10"/>
        <v>827.06700000000001</v>
      </c>
      <c r="I39" s="32">
        <f t="shared" si="10"/>
        <v>2373.6822899999997</v>
      </c>
      <c r="J39" s="32">
        <f t="shared" si="10"/>
        <v>1033.83375</v>
      </c>
      <c r="K39" s="32">
        <f t="shared" si="10"/>
        <v>14060.139000000001</v>
      </c>
      <c r="L39" s="32">
        <f t="shared" si="4"/>
        <v>766.27757550000001</v>
      </c>
      <c r="M39" s="32">
        <f t="shared" si="2"/>
        <v>107388.57418857692</v>
      </c>
      <c r="N39" s="131">
        <f>Lookups!$E$12*$E$10</f>
        <v>0</v>
      </c>
      <c r="O39" s="33">
        <f t="shared" si="5"/>
        <v>107388.57418857692</v>
      </c>
      <c r="P39" s="33">
        <f>O39/(1-Lookups!$E$13)</f>
        <v>107388.57418857692</v>
      </c>
      <c r="Q39" s="34">
        <f t="shared" si="6"/>
        <v>8949.0478490480764</v>
      </c>
      <c r="R39" s="33">
        <f t="shared" si="7"/>
        <v>2440.6494133767483</v>
      </c>
      <c r="S39" s="34">
        <f t="shared" si="8"/>
        <v>488.12988267534968</v>
      </c>
      <c r="T39" s="36">
        <f t="shared" si="9"/>
        <v>69.732840382192805</v>
      </c>
    </row>
    <row r="40" spans="4:20" x14ac:dyDescent="0.35">
      <c r="D40" s="35" t="s">
        <v>154</v>
      </c>
      <c r="E40" s="31">
        <v>85553.52</v>
      </c>
      <c r="F40" s="32">
        <f t="shared" si="0"/>
        <v>4662.6668399999999</v>
      </c>
      <c r="G40" s="32">
        <f t="shared" si="3"/>
        <v>1151.682</v>
      </c>
      <c r="H40" s="32">
        <f t="shared" si="10"/>
        <v>855.53520000000003</v>
      </c>
      <c r="I40" s="32">
        <f t="shared" si="10"/>
        <v>2455.3860239999999</v>
      </c>
      <c r="J40" s="32">
        <f t="shared" si="10"/>
        <v>1069.4190000000001</v>
      </c>
      <c r="K40" s="32">
        <f t="shared" si="10"/>
        <v>14544.098400000003</v>
      </c>
      <c r="L40" s="32">
        <f t="shared" si="4"/>
        <v>792.65336280000008</v>
      </c>
      <c r="M40" s="32">
        <f t="shared" si="2"/>
        <v>111084.96082680002</v>
      </c>
      <c r="N40" s="131">
        <f>Lookups!$E$12*$E$10</f>
        <v>0</v>
      </c>
      <c r="O40" s="33">
        <f t="shared" si="5"/>
        <v>111084.96082680002</v>
      </c>
      <c r="P40" s="33">
        <f>O40/(1-Lookups!$E$13)</f>
        <v>111084.96082680002</v>
      </c>
      <c r="Q40" s="34">
        <f t="shared" si="6"/>
        <v>9257.0800689000007</v>
      </c>
      <c r="R40" s="33">
        <f t="shared" si="7"/>
        <v>2524.6582006090912</v>
      </c>
      <c r="S40" s="34">
        <f t="shared" si="8"/>
        <v>504.93164012181825</v>
      </c>
      <c r="T40" s="36">
        <f t="shared" si="9"/>
        <v>72.133091445974031</v>
      </c>
    </row>
    <row r="41" spans="4:20" x14ac:dyDescent="0.35">
      <c r="D41" s="35" t="s">
        <v>155</v>
      </c>
      <c r="E41" s="31">
        <v>88404.42</v>
      </c>
      <c r="F41" s="32">
        <f t="shared" si="0"/>
        <v>4818.0408900000002</v>
      </c>
      <c r="G41" s="32">
        <f t="shared" si="3"/>
        <v>1190.0594999999998</v>
      </c>
      <c r="H41" s="32">
        <f t="shared" si="10"/>
        <v>884.04420000000005</v>
      </c>
      <c r="I41" s="32">
        <f t="shared" si="10"/>
        <v>2537.206854</v>
      </c>
      <c r="J41" s="32">
        <f t="shared" si="10"/>
        <v>1105.0552500000001</v>
      </c>
      <c r="K41" s="32">
        <f t="shared" si="10"/>
        <v>15028.751400000001</v>
      </c>
      <c r="L41" s="32">
        <f t="shared" si="4"/>
        <v>819.06695130000003</v>
      </c>
      <c r="M41" s="32">
        <f t="shared" si="2"/>
        <v>114786.64504530003</v>
      </c>
      <c r="N41" s="131">
        <f>Lookups!$E$12*$E$10</f>
        <v>0</v>
      </c>
      <c r="O41" s="33">
        <f t="shared" si="5"/>
        <v>114786.64504530003</v>
      </c>
      <c r="P41" s="33">
        <f>O41/(1-Lookups!$E$13)</f>
        <v>114786.64504530003</v>
      </c>
      <c r="Q41" s="34">
        <f t="shared" si="6"/>
        <v>9565.5537537750024</v>
      </c>
      <c r="R41" s="33">
        <f t="shared" si="7"/>
        <v>2608.7873873931821</v>
      </c>
      <c r="S41" s="34">
        <f t="shared" si="8"/>
        <v>521.75747747863647</v>
      </c>
      <c r="T41" s="36">
        <f t="shared" si="9"/>
        <v>74.536782496948064</v>
      </c>
    </row>
    <row r="42" spans="4:20" x14ac:dyDescent="0.35">
      <c r="D42" s="35" t="s">
        <v>156</v>
      </c>
      <c r="E42" s="31">
        <v>91259.400000000009</v>
      </c>
      <c r="F42" s="32">
        <f t="shared" si="0"/>
        <v>4973.6373000000003</v>
      </c>
      <c r="G42" s="32">
        <f t="shared" si="3"/>
        <v>1228.4919230769231</v>
      </c>
      <c r="H42" s="32">
        <f t="shared" si="10"/>
        <v>912.59400000000005</v>
      </c>
      <c r="I42" s="32">
        <f t="shared" si="10"/>
        <v>2619.1447800000001</v>
      </c>
      <c r="J42" s="32">
        <f t="shared" si="10"/>
        <v>1140.7425000000001</v>
      </c>
      <c r="K42" s="32">
        <f t="shared" si="10"/>
        <v>15514.098000000002</v>
      </c>
      <c r="L42" s="32">
        <f t="shared" si="4"/>
        <v>845.51834100000008</v>
      </c>
      <c r="M42" s="32">
        <f t="shared" si="2"/>
        <v>118493.62684407693</v>
      </c>
      <c r="N42" s="131">
        <f>Lookups!$E$12*$E$10</f>
        <v>0</v>
      </c>
      <c r="O42" s="33">
        <f t="shared" si="5"/>
        <v>118493.62684407693</v>
      </c>
      <c r="P42" s="33">
        <f>O42/(1-Lookups!$E$13)</f>
        <v>118493.62684407693</v>
      </c>
      <c r="Q42" s="34">
        <f t="shared" si="6"/>
        <v>9874.4689036730779</v>
      </c>
      <c r="R42" s="33">
        <f t="shared" si="7"/>
        <v>2693.0369737290216</v>
      </c>
      <c r="S42" s="34">
        <f t="shared" si="8"/>
        <v>538.6073947458043</v>
      </c>
      <c r="T42" s="36">
        <f t="shared" si="9"/>
        <v>76.943913535114902</v>
      </c>
    </row>
    <row r="43" spans="4:20" x14ac:dyDescent="0.35">
      <c r="D43" s="35" t="s">
        <v>157</v>
      </c>
      <c r="E43" s="31">
        <v>91259.400000000009</v>
      </c>
      <c r="F43" s="32">
        <f t="shared" si="0"/>
        <v>4973.6373000000003</v>
      </c>
      <c r="G43" s="32">
        <f t="shared" si="3"/>
        <v>1228.4919230769231</v>
      </c>
      <c r="H43" s="32">
        <f t="shared" si="10"/>
        <v>912.59400000000005</v>
      </c>
      <c r="I43" s="32">
        <f t="shared" si="10"/>
        <v>2619.1447800000001</v>
      </c>
      <c r="J43" s="32">
        <f t="shared" si="10"/>
        <v>1140.7425000000001</v>
      </c>
      <c r="K43" s="32">
        <f t="shared" si="10"/>
        <v>15514.098000000002</v>
      </c>
      <c r="L43" s="32">
        <f t="shared" si="4"/>
        <v>845.51834100000008</v>
      </c>
      <c r="M43" s="32">
        <f t="shared" si="2"/>
        <v>118493.62684407693</v>
      </c>
      <c r="N43" s="131">
        <f>Lookups!$E$12*$E$10</f>
        <v>0</v>
      </c>
      <c r="O43" s="33">
        <f t="shared" si="5"/>
        <v>118493.62684407693</v>
      </c>
      <c r="P43" s="33">
        <f>O43/(1-Lookups!$E$13)</f>
        <v>118493.62684407693</v>
      </c>
      <c r="Q43" s="34">
        <f t="shared" si="6"/>
        <v>9874.4689036730779</v>
      </c>
      <c r="R43" s="33">
        <f t="shared" si="7"/>
        <v>2693.0369737290216</v>
      </c>
      <c r="S43" s="34">
        <f t="shared" si="8"/>
        <v>538.6073947458043</v>
      </c>
      <c r="T43" s="36">
        <f t="shared" si="9"/>
        <v>76.943913535114902</v>
      </c>
    </row>
    <row r="44" spans="4:20" x14ac:dyDescent="0.35">
      <c r="D44" s="35" t="s">
        <v>158</v>
      </c>
      <c r="E44" s="31">
        <v>94110.3</v>
      </c>
      <c r="F44" s="32">
        <f t="shared" si="0"/>
        <v>5129.0113499999998</v>
      </c>
      <c r="G44" s="32">
        <f t="shared" si="3"/>
        <v>1266.8694230769229</v>
      </c>
      <c r="H44" s="32">
        <f t="shared" si="10"/>
        <v>941.10300000000007</v>
      </c>
      <c r="I44" s="32">
        <f t="shared" si="10"/>
        <v>2700.9656100000002</v>
      </c>
      <c r="J44" s="32">
        <f t="shared" si="10"/>
        <v>1176.3787500000001</v>
      </c>
      <c r="K44" s="32">
        <f t="shared" si="10"/>
        <v>15998.751000000002</v>
      </c>
      <c r="L44" s="32">
        <f t="shared" si="4"/>
        <v>871.93192950000014</v>
      </c>
      <c r="M44" s="32">
        <f t="shared" si="2"/>
        <v>122195.31106257693</v>
      </c>
      <c r="N44" s="131">
        <f>Lookups!$E$12*$E$10</f>
        <v>0</v>
      </c>
      <c r="O44" s="33">
        <f t="shared" si="5"/>
        <v>122195.31106257693</v>
      </c>
      <c r="P44" s="33">
        <f>O44/(1-Lookups!$E$13)</f>
        <v>122195.31106257693</v>
      </c>
      <c r="Q44" s="34">
        <f t="shared" si="6"/>
        <v>10182.942588548078</v>
      </c>
      <c r="R44" s="33">
        <f t="shared" si="7"/>
        <v>2777.1661605131121</v>
      </c>
      <c r="S44" s="34">
        <f t="shared" si="8"/>
        <v>555.43323210262247</v>
      </c>
      <c r="T44" s="36">
        <f t="shared" si="9"/>
        <v>79.34760458608892</v>
      </c>
    </row>
    <row r="45" spans="4:20" x14ac:dyDescent="0.35">
      <c r="D45" s="35" t="s">
        <v>159</v>
      </c>
      <c r="E45" s="31">
        <v>96966.3</v>
      </c>
      <c r="F45" s="32">
        <f t="shared" si="0"/>
        <v>5284.6633499999998</v>
      </c>
      <c r="G45" s="32">
        <f t="shared" si="3"/>
        <v>1305.3155769230771</v>
      </c>
      <c r="H45" s="32">
        <f t="shared" si="10"/>
        <v>969.66300000000001</v>
      </c>
      <c r="I45" s="32">
        <f t="shared" si="10"/>
        <v>2782.9328100000002</v>
      </c>
      <c r="J45" s="32">
        <f t="shared" si="10"/>
        <v>1212.0787500000001</v>
      </c>
      <c r="K45" s="32">
        <f t="shared" si="10"/>
        <v>16484.271000000001</v>
      </c>
      <c r="L45" s="32">
        <f t="shared" si="4"/>
        <v>898.39276949999999</v>
      </c>
      <c r="M45" s="32">
        <f t="shared" si="2"/>
        <v>125903.61725642308</v>
      </c>
      <c r="N45" s="131">
        <f>Lookups!$E$12*$E$10</f>
        <v>0</v>
      </c>
      <c r="O45" s="33">
        <f t="shared" si="5"/>
        <v>125903.61725642308</v>
      </c>
      <c r="P45" s="33">
        <f>O45/(1-Lookups!$E$13)</f>
        <v>125903.61725642308</v>
      </c>
      <c r="Q45" s="34">
        <f t="shared" si="6"/>
        <v>10491.968104701924</v>
      </c>
      <c r="R45" s="33">
        <f t="shared" si="7"/>
        <v>2861.4458467368881</v>
      </c>
      <c r="S45" s="34">
        <f t="shared" si="8"/>
        <v>572.28916934737765</v>
      </c>
      <c r="T45" s="36">
        <f t="shared" si="9"/>
        <v>81.755595621053956</v>
      </c>
    </row>
    <row r="46" spans="4:20" x14ac:dyDescent="0.35">
      <c r="D46" s="35" t="s">
        <v>160</v>
      </c>
      <c r="E46" s="31">
        <v>99814.14</v>
      </c>
      <c r="F46" s="32">
        <f t="shared" si="0"/>
        <v>5439.8706300000003</v>
      </c>
      <c r="G46" s="32">
        <f t="shared" si="3"/>
        <v>1343.6518846153847</v>
      </c>
      <c r="H46" s="32">
        <f t="shared" si="10"/>
        <v>998.14139999999998</v>
      </c>
      <c r="I46" s="32">
        <f t="shared" si="10"/>
        <v>2864.6658179999999</v>
      </c>
      <c r="J46" s="32">
        <f t="shared" si="10"/>
        <v>1247.6767500000001</v>
      </c>
      <c r="K46" s="32">
        <f t="shared" si="10"/>
        <v>16968.4038</v>
      </c>
      <c r="L46" s="32">
        <f t="shared" si="4"/>
        <v>924.77800709999997</v>
      </c>
      <c r="M46" s="32">
        <f t="shared" si="2"/>
        <v>129601.32828971537</v>
      </c>
      <c r="N46" s="131">
        <f>Lookups!$E$12*$E$10</f>
        <v>0</v>
      </c>
      <c r="O46" s="33">
        <f t="shared" si="5"/>
        <v>129601.32828971537</v>
      </c>
      <c r="P46" s="33">
        <f>O46/(1-Lookups!$E$13)</f>
        <v>129601.32828971537</v>
      </c>
      <c r="Q46" s="34">
        <f t="shared" si="6"/>
        <v>10800.110690809614</v>
      </c>
      <c r="R46" s="33">
        <f t="shared" si="7"/>
        <v>2945.4847338571676</v>
      </c>
      <c r="S46" s="34">
        <f t="shared" si="8"/>
        <v>589.09694677143352</v>
      </c>
      <c r="T46" s="36">
        <f t="shared" si="9"/>
        <v>84.156706681633366</v>
      </c>
    </row>
    <row r="47" spans="4:20" x14ac:dyDescent="0.35">
      <c r="D47" s="35" t="s">
        <v>161</v>
      </c>
      <c r="E47" s="31">
        <v>102667.08</v>
      </c>
      <c r="F47" s="32">
        <f t="shared" si="0"/>
        <v>5595.3558599999997</v>
      </c>
      <c r="G47" s="32">
        <f t="shared" si="3"/>
        <v>1382.056846153846</v>
      </c>
      <c r="H47" s="32">
        <f t="shared" si="10"/>
        <v>1026.6708000000001</v>
      </c>
      <c r="I47" s="32">
        <f t="shared" si="10"/>
        <v>2946.545196</v>
      </c>
      <c r="J47" s="32">
        <f t="shared" si="10"/>
        <v>1283.3385000000001</v>
      </c>
      <c r="K47" s="32">
        <f t="shared" si="10"/>
        <v>17453.403600000001</v>
      </c>
      <c r="L47" s="32">
        <f t="shared" si="4"/>
        <v>951.21049620000008</v>
      </c>
      <c r="M47" s="32">
        <f t="shared" si="2"/>
        <v>133305.66129835384</v>
      </c>
      <c r="N47" s="131">
        <f>Lookups!$E$12*$E$10</f>
        <v>0</v>
      </c>
      <c r="O47" s="33">
        <f t="shared" si="5"/>
        <v>133305.66129835384</v>
      </c>
      <c r="P47" s="33">
        <f>O47/(1-Lookups!$E$13)</f>
        <v>133305.66129835384</v>
      </c>
      <c r="Q47" s="34">
        <f t="shared" si="6"/>
        <v>11108.805108196153</v>
      </c>
      <c r="R47" s="33">
        <f t="shared" si="7"/>
        <v>3029.6741204171326</v>
      </c>
      <c r="S47" s="34">
        <f t="shared" si="8"/>
        <v>605.93482408342652</v>
      </c>
      <c r="T47" s="36">
        <f t="shared" si="9"/>
        <v>86.562117726203795</v>
      </c>
    </row>
    <row r="48" spans="4:20" x14ac:dyDescent="0.35">
      <c r="D48" s="35" t="s">
        <v>162</v>
      </c>
      <c r="E48" s="31">
        <v>102667.08</v>
      </c>
      <c r="F48" s="32">
        <f t="shared" si="0"/>
        <v>5595.3558599999997</v>
      </c>
      <c r="G48" s="32">
        <f t="shared" si="3"/>
        <v>1382.056846153846</v>
      </c>
      <c r="H48" s="32">
        <f t="shared" si="10"/>
        <v>1026.6708000000001</v>
      </c>
      <c r="I48" s="32">
        <f t="shared" si="10"/>
        <v>2946.545196</v>
      </c>
      <c r="J48" s="32">
        <f t="shared" si="10"/>
        <v>1283.3385000000001</v>
      </c>
      <c r="K48" s="32">
        <f t="shared" si="10"/>
        <v>17453.403600000001</v>
      </c>
      <c r="L48" s="32">
        <f t="shared" si="4"/>
        <v>951.21049620000008</v>
      </c>
      <c r="M48" s="32">
        <f t="shared" si="2"/>
        <v>133305.66129835384</v>
      </c>
      <c r="N48" s="131">
        <f>Lookups!$E$12*$E$10</f>
        <v>0</v>
      </c>
      <c r="O48" s="33">
        <f t="shared" si="5"/>
        <v>133305.66129835384</v>
      </c>
      <c r="P48" s="33">
        <f>O48/(1-Lookups!$E$13)</f>
        <v>133305.66129835384</v>
      </c>
      <c r="Q48" s="34">
        <f t="shared" si="6"/>
        <v>11108.805108196153</v>
      </c>
      <c r="R48" s="33">
        <f t="shared" si="7"/>
        <v>3029.6741204171326</v>
      </c>
      <c r="S48" s="34">
        <f t="shared" si="8"/>
        <v>605.93482408342652</v>
      </c>
      <c r="T48" s="36">
        <f t="shared" si="9"/>
        <v>86.562117726203795</v>
      </c>
    </row>
    <row r="49" spans="4:20" x14ac:dyDescent="0.35">
      <c r="D49" s="35" t="s">
        <v>163</v>
      </c>
      <c r="E49" s="31">
        <v>105063.06</v>
      </c>
      <c r="F49" s="32">
        <f t="shared" si="0"/>
        <v>5725.9367700000003</v>
      </c>
      <c r="G49" s="32">
        <f t="shared" si="3"/>
        <v>1414.3104230769229</v>
      </c>
      <c r="H49" s="32">
        <f t="shared" si="10"/>
        <v>1050.6306</v>
      </c>
      <c r="I49" s="32">
        <f t="shared" si="10"/>
        <v>3015.3098219999997</v>
      </c>
      <c r="J49" s="32">
        <f t="shared" si="10"/>
        <v>1313.2882500000001</v>
      </c>
      <c r="K49" s="32">
        <f t="shared" si="10"/>
        <v>17860.7202</v>
      </c>
      <c r="L49" s="32">
        <f t="shared" si="4"/>
        <v>973.40925089999996</v>
      </c>
      <c r="M49" s="32">
        <f t="shared" si="2"/>
        <v>136416.66531597692</v>
      </c>
      <c r="N49" s="131">
        <f>Lookups!$E$12*$E$10</f>
        <v>0</v>
      </c>
      <c r="O49" s="33">
        <f t="shared" si="5"/>
        <v>136416.66531597692</v>
      </c>
      <c r="P49" s="33">
        <f>O49/(1-Lookups!$E$13)</f>
        <v>136416.66531597692</v>
      </c>
      <c r="Q49" s="34">
        <f t="shared" si="6"/>
        <v>11368.055442998077</v>
      </c>
      <c r="R49" s="33">
        <f t="shared" si="7"/>
        <v>3100.3787571812936</v>
      </c>
      <c r="S49" s="34">
        <f t="shared" si="8"/>
        <v>620.07575143625877</v>
      </c>
      <c r="T49" s="36">
        <f t="shared" si="9"/>
        <v>88.582250205179818</v>
      </c>
    </row>
    <row r="50" spans="4:20" x14ac:dyDescent="0.35">
      <c r="D50" s="35" t="s">
        <v>164</v>
      </c>
      <c r="E50" s="31">
        <v>108938.04000000001</v>
      </c>
      <c r="F50" s="32">
        <f t="shared" ref="F50:F81" si="11">$E50*F$16</f>
        <v>5937.1231800000005</v>
      </c>
      <c r="G50" s="32">
        <f t="shared" si="3"/>
        <v>1466.4736153846154</v>
      </c>
      <c r="H50" s="32">
        <f t="shared" si="10"/>
        <v>1089.3804</v>
      </c>
      <c r="I50" s="32">
        <f t="shared" si="10"/>
        <v>3126.5217480000001</v>
      </c>
      <c r="J50" s="32">
        <f t="shared" si="10"/>
        <v>1361.7255000000002</v>
      </c>
      <c r="K50" s="32">
        <f t="shared" si="10"/>
        <v>18519.466800000002</v>
      </c>
      <c r="L50" s="32">
        <f t="shared" ref="L50:L81" si="12">$K50*L$16</f>
        <v>1009.3109406000001</v>
      </c>
      <c r="M50" s="32">
        <f t="shared" ref="M50:M81" si="13">SUM(E50:L50)</f>
        <v>141448.04218398462</v>
      </c>
      <c r="N50" s="131">
        <f>Lookups!$E$12*$E$10</f>
        <v>0</v>
      </c>
      <c r="O50" s="33">
        <f t="shared" si="5"/>
        <v>141448.04218398462</v>
      </c>
      <c r="P50" s="33">
        <f>O50/(1-Lookups!$E$13)</f>
        <v>141448.04218398462</v>
      </c>
      <c r="Q50" s="34">
        <f t="shared" ref="Q50:Q81" si="14">$P50/Q$16</f>
        <v>11787.336848665385</v>
      </c>
      <c r="R50" s="33">
        <f t="shared" si="7"/>
        <v>3214.7282314541962</v>
      </c>
      <c r="S50" s="34">
        <f t="shared" ref="S50:S81" si="15">$P50/S$16</f>
        <v>642.94564629083925</v>
      </c>
      <c r="T50" s="36">
        <f t="shared" si="9"/>
        <v>91.849378041548462</v>
      </c>
    </row>
    <row r="51" spans="4:20" x14ac:dyDescent="0.35">
      <c r="D51" s="35" t="s">
        <v>165</v>
      </c>
      <c r="E51" s="31">
        <v>111795.06</v>
      </c>
      <c r="F51" s="32">
        <f t="shared" si="11"/>
        <v>6092.8307699999996</v>
      </c>
      <c r="G51" s="32">
        <f t="shared" si="3"/>
        <v>1504.9334999999996</v>
      </c>
      <c r="H51" s="32">
        <f t="shared" si="10"/>
        <v>1117.9505999999999</v>
      </c>
      <c r="I51" s="32">
        <f t="shared" si="10"/>
        <v>3208.5182219999997</v>
      </c>
      <c r="J51" s="32">
        <f t="shared" si="10"/>
        <v>1397.4382500000002</v>
      </c>
      <c r="K51" s="32">
        <f t="shared" si="10"/>
        <v>19005.160200000002</v>
      </c>
      <c r="L51" s="32">
        <f t="shared" si="12"/>
        <v>1035.7812309000001</v>
      </c>
      <c r="M51" s="32">
        <f t="shared" si="13"/>
        <v>145157.6727729</v>
      </c>
      <c r="N51" s="131">
        <f>Lookups!$E$12*$E$10</f>
        <v>0</v>
      </c>
      <c r="O51" s="33">
        <f t="shared" si="5"/>
        <v>145157.6727729</v>
      </c>
      <c r="P51" s="33">
        <f>O51/(1-Lookups!$E$13)</f>
        <v>145157.6727729</v>
      </c>
      <c r="Q51" s="34">
        <f t="shared" si="14"/>
        <v>12096.472731075</v>
      </c>
      <c r="R51" s="33">
        <f t="shared" si="7"/>
        <v>3299.0380175659088</v>
      </c>
      <c r="S51" s="34">
        <f t="shared" si="15"/>
        <v>659.80760351318179</v>
      </c>
      <c r="T51" s="36">
        <f t="shared" si="9"/>
        <v>94.258229073311682</v>
      </c>
    </row>
    <row r="52" spans="4:20" x14ac:dyDescent="0.35">
      <c r="D52" s="35" t="s">
        <v>166</v>
      </c>
      <c r="E52" s="31">
        <v>114073.74</v>
      </c>
      <c r="F52" s="32">
        <f t="shared" si="11"/>
        <v>6217.01883</v>
      </c>
      <c r="G52" s="32">
        <f t="shared" si="3"/>
        <v>1535.6080384615384</v>
      </c>
      <c r="H52" s="32">
        <f t="shared" si="10"/>
        <v>1140.7374</v>
      </c>
      <c r="I52" s="32">
        <f t="shared" si="10"/>
        <v>3273.916338</v>
      </c>
      <c r="J52" s="32">
        <f t="shared" si="10"/>
        <v>1425.9217500000002</v>
      </c>
      <c r="K52" s="32">
        <f t="shared" si="10"/>
        <v>19392.535800000001</v>
      </c>
      <c r="L52" s="32">
        <f t="shared" si="12"/>
        <v>1056.8932011000002</v>
      </c>
      <c r="M52" s="32">
        <f t="shared" si="13"/>
        <v>148116.37135756153</v>
      </c>
      <c r="N52" s="131">
        <f>Lookups!$E$12*$E$10</f>
        <v>0</v>
      </c>
      <c r="O52" s="33">
        <f t="shared" si="5"/>
        <v>148116.37135756153</v>
      </c>
      <c r="P52" s="33">
        <f>O52/(1-Lookups!$E$13)</f>
        <v>148116.37135756153</v>
      </c>
      <c r="Q52" s="34">
        <f t="shared" si="14"/>
        <v>12343.030946463461</v>
      </c>
      <c r="R52" s="33">
        <f t="shared" si="7"/>
        <v>3366.2811672173075</v>
      </c>
      <c r="S52" s="34">
        <f t="shared" si="15"/>
        <v>673.2562334434615</v>
      </c>
      <c r="T52" s="36">
        <f t="shared" si="9"/>
        <v>96.179461920494504</v>
      </c>
    </row>
    <row r="53" spans="4:20" x14ac:dyDescent="0.35">
      <c r="D53" s="35" t="s">
        <v>167</v>
      </c>
      <c r="E53" s="31">
        <v>116924.64</v>
      </c>
      <c r="F53" s="32">
        <f t="shared" si="11"/>
        <v>6372.3928800000003</v>
      </c>
      <c r="G53" s="32">
        <f t="shared" si="3"/>
        <v>1573.9855384615382</v>
      </c>
      <c r="H53" s="32">
        <f t="shared" si="10"/>
        <v>1169.2464</v>
      </c>
      <c r="I53" s="32">
        <f t="shared" si="10"/>
        <v>3355.7371680000001</v>
      </c>
      <c r="J53" s="32">
        <f t="shared" si="10"/>
        <v>1461.558</v>
      </c>
      <c r="K53" s="32">
        <f t="shared" si="10"/>
        <v>19877.1888</v>
      </c>
      <c r="L53" s="32">
        <f t="shared" si="12"/>
        <v>1083.3067896</v>
      </c>
      <c r="M53" s="32">
        <f t="shared" si="13"/>
        <v>151818.05557606154</v>
      </c>
      <c r="N53" s="131">
        <f>Lookups!$E$12*$E$10</f>
        <v>0</v>
      </c>
      <c r="O53" s="33">
        <f t="shared" si="5"/>
        <v>151818.05557606154</v>
      </c>
      <c r="P53" s="33">
        <f>O53/(1-Lookups!$E$13)</f>
        <v>151818.05557606154</v>
      </c>
      <c r="Q53" s="34">
        <f t="shared" si="14"/>
        <v>12651.504631338461</v>
      </c>
      <c r="R53" s="33">
        <f t="shared" si="7"/>
        <v>3450.4103540013984</v>
      </c>
      <c r="S53" s="34">
        <f t="shared" si="15"/>
        <v>690.08207080027967</v>
      </c>
      <c r="T53" s="36">
        <f t="shared" si="9"/>
        <v>98.583152971468522</v>
      </c>
    </row>
    <row r="54" spans="4:20" x14ac:dyDescent="0.35">
      <c r="D54" s="35" t="s">
        <v>168</v>
      </c>
      <c r="E54" s="31">
        <v>119777.58</v>
      </c>
      <c r="F54" s="32">
        <f t="shared" si="11"/>
        <v>6527.8781099999997</v>
      </c>
      <c r="G54" s="32">
        <f t="shared" si="3"/>
        <v>1612.3905</v>
      </c>
      <c r="H54" s="32">
        <f t="shared" si="10"/>
        <v>1197.7758000000001</v>
      </c>
      <c r="I54" s="32">
        <f t="shared" si="10"/>
        <v>3437.6165460000002</v>
      </c>
      <c r="J54" s="32">
        <f t="shared" si="10"/>
        <v>1497.2197500000002</v>
      </c>
      <c r="K54" s="32">
        <f t="shared" si="10"/>
        <v>20362.188600000001</v>
      </c>
      <c r="L54" s="32">
        <f t="shared" si="12"/>
        <v>1109.7392787000001</v>
      </c>
      <c r="M54" s="32">
        <f t="shared" si="13"/>
        <v>155522.38858469998</v>
      </c>
      <c r="N54" s="131">
        <f>Lookups!$E$12*$E$10</f>
        <v>0</v>
      </c>
      <c r="O54" s="33">
        <f t="shared" si="5"/>
        <v>155522.38858469998</v>
      </c>
      <c r="P54" s="33">
        <f>O54/(1-Lookups!$E$13)</f>
        <v>155522.38858469998</v>
      </c>
      <c r="Q54" s="34">
        <f t="shared" si="14"/>
        <v>12960.199048724999</v>
      </c>
      <c r="R54" s="33">
        <f t="shared" si="7"/>
        <v>3534.5997405613634</v>
      </c>
      <c r="S54" s="34">
        <f t="shared" si="15"/>
        <v>706.91994811227266</v>
      </c>
      <c r="T54" s="36">
        <f t="shared" si="9"/>
        <v>100.98856401603895</v>
      </c>
    </row>
    <row r="55" spans="4:20" x14ac:dyDescent="0.35">
      <c r="D55" s="35" t="s">
        <v>169</v>
      </c>
      <c r="E55" s="31">
        <v>119777.58</v>
      </c>
      <c r="F55" s="32">
        <f t="shared" si="11"/>
        <v>6527.8781099999997</v>
      </c>
      <c r="G55" s="32">
        <f t="shared" si="3"/>
        <v>1612.3905</v>
      </c>
      <c r="H55" s="32">
        <f t="shared" si="10"/>
        <v>1197.7758000000001</v>
      </c>
      <c r="I55" s="32">
        <f t="shared" si="10"/>
        <v>3437.6165460000002</v>
      </c>
      <c r="J55" s="32">
        <f t="shared" si="10"/>
        <v>1497.2197500000002</v>
      </c>
      <c r="K55" s="32">
        <f t="shared" si="10"/>
        <v>20362.188600000001</v>
      </c>
      <c r="L55" s="32">
        <f t="shared" si="12"/>
        <v>1109.7392787000001</v>
      </c>
      <c r="M55" s="32">
        <f t="shared" si="13"/>
        <v>155522.38858469998</v>
      </c>
      <c r="N55" s="131">
        <f>Lookups!$E$12*$E$10</f>
        <v>0</v>
      </c>
      <c r="O55" s="33">
        <f t="shared" si="5"/>
        <v>155522.38858469998</v>
      </c>
      <c r="P55" s="33">
        <f>O55/(1-Lookups!$E$13)</f>
        <v>155522.38858469998</v>
      </c>
      <c r="Q55" s="34">
        <f t="shared" si="14"/>
        <v>12960.199048724999</v>
      </c>
      <c r="R55" s="33">
        <f t="shared" si="7"/>
        <v>3534.5997405613634</v>
      </c>
      <c r="S55" s="34">
        <f t="shared" si="15"/>
        <v>706.91994811227266</v>
      </c>
      <c r="T55" s="36">
        <f t="shared" si="9"/>
        <v>100.98856401603895</v>
      </c>
    </row>
    <row r="56" spans="4:20" x14ac:dyDescent="0.35">
      <c r="D56" s="35" t="s">
        <v>170</v>
      </c>
      <c r="E56" s="31">
        <v>122628.48</v>
      </c>
      <c r="F56" s="32">
        <f t="shared" si="11"/>
        <v>6683.25216</v>
      </c>
      <c r="G56" s="32">
        <f t="shared" si="3"/>
        <v>1650.7679999999998</v>
      </c>
      <c r="H56" s="32">
        <f t="shared" si="10"/>
        <v>1226.2847999999999</v>
      </c>
      <c r="I56" s="32">
        <f t="shared" si="10"/>
        <v>3519.4373759999999</v>
      </c>
      <c r="J56" s="32">
        <f t="shared" si="10"/>
        <v>1532.856</v>
      </c>
      <c r="K56" s="32">
        <f t="shared" si="10"/>
        <v>20846.8416</v>
      </c>
      <c r="L56" s="32">
        <f t="shared" si="12"/>
        <v>1136.1528671999999</v>
      </c>
      <c r="M56" s="32">
        <f t="shared" si="13"/>
        <v>159224.07280319996</v>
      </c>
      <c r="N56" s="131">
        <f>Lookups!$E$12*$E$10</f>
        <v>0</v>
      </c>
      <c r="O56" s="33">
        <f t="shared" si="5"/>
        <v>159224.07280319996</v>
      </c>
      <c r="P56" s="33">
        <f>O56/(1-Lookups!$E$13)</f>
        <v>159224.07280319996</v>
      </c>
      <c r="Q56" s="34">
        <f t="shared" si="14"/>
        <v>13268.672733599997</v>
      </c>
      <c r="R56" s="33">
        <f t="shared" si="7"/>
        <v>3618.7289273454535</v>
      </c>
      <c r="S56" s="34">
        <f t="shared" si="15"/>
        <v>723.74578546909072</v>
      </c>
      <c r="T56" s="36">
        <f t="shared" si="9"/>
        <v>103.39225506701295</v>
      </c>
    </row>
    <row r="57" spans="4:20" x14ac:dyDescent="0.35">
      <c r="D57" s="35" t="s">
        <v>171</v>
      </c>
      <c r="E57" s="31">
        <v>125483.46</v>
      </c>
      <c r="F57" s="32">
        <f t="shared" si="11"/>
        <v>6838.8485700000001</v>
      </c>
      <c r="G57" s="32">
        <f t="shared" si="3"/>
        <v>1689.2004230769232</v>
      </c>
      <c r="H57" s="32">
        <f t="shared" si="10"/>
        <v>1254.8346000000001</v>
      </c>
      <c r="I57" s="32">
        <f t="shared" si="10"/>
        <v>3601.3753020000004</v>
      </c>
      <c r="J57" s="32">
        <f t="shared" si="10"/>
        <v>1568.5432500000002</v>
      </c>
      <c r="K57" s="32">
        <f t="shared" si="10"/>
        <v>21332.188200000004</v>
      </c>
      <c r="L57" s="32">
        <f t="shared" si="12"/>
        <v>1162.6042569000001</v>
      </c>
      <c r="M57" s="32">
        <f t="shared" si="13"/>
        <v>162931.05460197691</v>
      </c>
      <c r="N57" s="131">
        <f>Lookups!$E$12*$E$10</f>
        <v>0</v>
      </c>
      <c r="O57" s="33">
        <f t="shared" si="5"/>
        <v>162931.05460197691</v>
      </c>
      <c r="P57" s="33">
        <f>O57/(1-Lookups!$E$13)</f>
        <v>162931.05460197691</v>
      </c>
      <c r="Q57" s="34">
        <f t="shared" si="14"/>
        <v>13577.587883498076</v>
      </c>
      <c r="R57" s="33">
        <f t="shared" si="7"/>
        <v>3702.9785136812934</v>
      </c>
      <c r="S57" s="34">
        <f t="shared" si="15"/>
        <v>740.59570273625866</v>
      </c>
      <c r="T57" s="36">
        <f t="shared" si="9"/>
        <v>105.79938610517981</v>
      </c>
    </row>
    <row r="58" spans="4:20" x14ac:dyDescent="0.35">
      <c r="D58" s="35" t="s">
        <v>172</v>
      </c>
      <c r="E58" s="31">
        <v>128332.32</v>
      </c>
      <c r="F58" s="32">
        <f t="shared" si="11"/>
        <v>6994.1114400000006</v>
      </c>
      <c r="G58" s="32">
        <f t="shared" si="3"/>
        <v>1727.5504615384614</v>
      </c>
      <c r="H58" s="32">
        <f t="shared" ref="H58:K77" si="16">$E58*H$16</f>
        <v>1283.3232</v>
      </c>
      <c r="I58" s="32">
        <f t="shared" si="16"/>
        <v>3683.1375840000001</v>
      </c>
      <c r="J58" s="32">
        <f t="shared" si="16"/>
        <v>1604.1540000000002</v>
      </c>
      <c r="K58" s="32">
        <f t="shared" si="16"/>
        <v>21816.494400000003</v>
      </c>
      <c r="L58" s="32">
        <f t="shared" si="12"/>
        <v>1188.9989448000001</v>
      </c>
      <c r="M58" s="32">
        <f t="shared" si="13"/>
        <v>166630.0900303385</v>
      </c>
      <c r="N58" s="131">
        <f>Lookups!$E$12*$E$10</f>
        <v>0</v>
      </c>
      <c r="O58" s="33">
        <f t="shared" si="5"/>
        <v>166630.0900303385</v>
      </c>
      <c r="P58" s="33">
        <f>O58/(1-Lookups!$E$13)</f>
        <v>166630.0900303385</v>
      </c>
      <c r="Q58" s="34">
        <f t="shared" si="14"/>
        <v>13885.840835861542</v>
      </c>
      <c r="R58" s="33">
        <f t="shared" si="7"/>
        <v>3787.0475006895113</v>
      </c>
      <c r="S58" s="34">
        <f t="shared" si="15"/>
        <v>757.40950013790223</v>
      </c>
      <c r="T58" s="36">
        <f t="shared" si="9"/>
        <v>108.20135716255746</v>
      </c>
    </row>
    <row r="59" spans="4:20" x14ac:dyDescent="0.35">
      <c r="D59" s="35" t="s">
        <v>173</v>
      </c>
      <c r="E59" s="31">
        <v>128332.32</v>
      </c>
      <c r="F59" s="32">
        <f t="shared" si="11"/>
        <v>6994.1114400000006</v>
      </c>
      <c r="G59" s="32">
        <f t="shared" si="3"/>
        <v>1727.5504615384614</v>
      </c>
      <c r="H59" s="32">
        <f t="shared" si="16"/>
        <v>1283.3232</v>
      </c>
      <c r="I59" s="32">
        <f t="shared" si="16"/>
        <v>3683.1375840000001</v>
      </c>
      <c r="J59" s="32">
        <f t="shared" si="16"/>
        <v>1604.1540000000002</v>
      </c>
      <c r="K59" s="32">
        <f t="shared" si="16"/>
        <v>21816.494400000003</v>
      </c>
      <c r="L59" s="32">
        <f t="shared" si="12"/>
        <v>1188.9989448000001</v>
      </c>
      <c r="M59" s="32">
        <f t="shared" si="13"/>
        <v>166630.0900303385</v>
      </c>
      <c r="N59" s="131">
        <f>Lookups!$E$12*$E$10</f>
        <v>0</v>
      </c>
      <c r="O59" s="33">
        <f t="shared" si="5"/>
        <v>166630.0900303385</v>
      </c>
      <c r="P59" s="33">
        <f>O59/(1-Lookups!$E$13)</f>
        <v>166630.0900303385</v>
      </c>
      <c r="Q59" s="34">
        <f t="shared" si="14"/>
        <v>13885.840835861542</v>
      </c>
      <c r="R59" s="33">
        <f t="shared" si="7"/>
        <v>3787.0475006895113</v>
      </c>
      <c r="S59" s="34">
        <f t="shared" si="15"/>
        <v>757.40950013790223</v>
      </c>
      <c r="T59" s="36">
        <f t="shared" si="9"/>
        <v>108.20135716255746</v>
      </c>
    </row>
    <row r="60" spans="4:20" x14ac:dyDescent="0.35">
      <c r="D60" s="35" t="s">
        <v>174</v>
      </c>
      <c r="E60" s="31">
        <v>128332.32</v>
      </c>
      <c r="F60" s="32">
        <f t="shared" si="11"/>
        <v>6994.1114400000006</v>
      </c>
      <c r="G60" s="32">
        <f t="shared" si="3"/>
        <v>1727.5504615384614</v>
      </c>
      <c r="H60" s="32">
        <f t="shared" si="16"/>
        <v>1283.3232</v>
      </c>
      <c r="I60" s="32">
        <f t="shared" si="16"/>
        <v>3683.1375840000001</v>
      </c>
      <c r="J60" s="32">
        <f t="shared" si="16"/>
        <v>1604.1540000000002</v>
      </c>
      <c r="K60" s="32">
        <f t="shared" si="16"/>
        <v>21816.494400000003</v>
      </c>
      <c r="L60" s="32">
        <f t="shared" si="12"/>
        <v>1188.9989448000001</v>
      </c>
      <c r="M60" s="32">
        <f t="shared" si="13"/>
        <v>166630.0900303385</v>
      </c>
      <c r="N60" s="131">
        <f>Lookups!$E$12*$E$10</f>
        <v>0</v>
      </c>
      <c r="O60" s="33">
        <f t="shared" si="5"/>
        <v>166630.0900303385</v>
      </c>
      <c r="P60" s="33">
        <f>O60/(1-Lookups!$E$13)</f>
        <v>166630.0900303385</v>
      </c>
      <c r="Q60" s="34">
        <f t="shared" si="14"/>
        <v>13885.840835861542</v>
      </c>
      <c r="R60" s="33">
        <f t="shared" si="7"/>
        <v>3787.0475006895113</v>
      </c>
      <c r="S60" s="34">
        <f t="shared" si="15"/>
        <v>757.40950013790223</v>
      </c>
      <c r="T60" s="36">
        <f t="shared" si="9"/>
        <v>108.20135716255746</v>
      </c>
    </row>
    <row r="61" spans="4:20" x14ac:dyDescent="0.35">
      <c r="D61" s="35" t="s">
        <v>175</v>
      </c>
      <c r="E61" s="31">
        <v>72256.800000000003</v>
      </c>
      <c r="F61" s="32">
        <f t="shared" si="11"/>
        <v>3937.9956000000002</v>
      </c>
      <c r="G61" s="32">
        <f t="shared" si="3"/>
        <v>972.68769230769237</v>
      </c>
      <c r="H61" s="32">
        <f t="shared" si="16"/>
        <v>722.5680000000001</v>
      </c>
      <c r="I61" s="32">
        <f t="shared" si="16"/>
        <v>2073.77016</v>
      </c>
      <c r="J61" s="32">
        <f t="shared" si="16"/>
        <v>903.21</v>
      </c>
      <c r="K61" s="32">
        <f t="shared" si="16"/>
        <v>12283.656000000001</v>
      </c>
      <c r="L61" s="32">
        <f t="shared" si="12"/>
        <v>669.45925199999999</v>
      </c>
      <c r="M61" s="32">
        <f t="shared" si="13"/>
        <v>93820.146704307699</v>
      </c>
      <c r="N61" s="131">
        <f>Lookups!$E$12*$E$10</f>
        <v>0</v>
      </c>
      <c r="O61" s="33">
        <f t="shared" si="5"/>
        <v>93820.146704307699</v>
      </c>
      <c r="P61" s="33">
        <f>O61/(1-Lookups!$E$13)</f>
        <v>93820.146704307699</v>
      </c>
      <c r="Q61" s="34">
        <f t="shared" si="14"/>
        <v>7818.3455586923083</v>
      </c>
      <c r="R61" s="33">
        <f t="shared" si="7"/>
        <v>2132.2760614615386</v>
      </c>
      <c r="S61" s="34">
        <f t="shared" si="15"/>
        <v>426.45521229230775</v>
      </c>
      <c r="T61" s="36">
        <f t="shared" si="9"/>
        <v>60.922173184615396</v>
      </c>
    </row>
    <row r="62" spans="4:20" x14ac:dyDescent="0.35">
      <c r="D62" s="35" t="s">
        <v>176</v>
      </c>
      <c r="E62" s="31">
        <v>76382.7</v>
      </c>
      <c r="F62" s="32">
        <f t="shared" si="11"/>
        <v>4162.8571499999998</v>
      </c>
      <c r="G62" s="32">
        <f t="shared" si="3"/>
        <v>1028.2286538461537</v>
      </c>
      <c r="H62" s="32">
        <f t="shared" si="16"/>
        <v>763.827</v>
      </c>
      <c r="I62" s="32">
        <f t="shared" si="16"/>
        <v>2192.1834899999999</v>
      </c>
      <c r="J62" s="32">
        <f t="shared" si="16"/>
        <v>954.78375000000005</v>
      </c>
      <c r="K62" s="32">
        <f t="shared" si="16"/>
        <v>12985.059000000001</v>
      </c>
      <c r="L62" s="32">
        <f t="shared" si="12"/>
        <v>707.68571550000001</v>
      </c>
      <c r="M62" s="32">
        <f t="shared" si="13"/>
        <v>99177.324759346142</v>
      </c>
      <c r="N62" s="131">
        <f>Lookups!$E$12*$E$10</f>
        <v>0</v>
      </c>
      <c r="O62" s="33">
        <f t="shared" si="5"/>
        <v>99177.324759346142</v>
      </c>
      <c r="P62" s="33">
        <f>O62/(1-Lookups!$E$13)</f>
        <v>99177.324759346142</v>
      </c>
      <c r="Q62" s="34">
        <f t="shared" si="14"/>
        <v>8264.7770632788452</v>
      </c>
      <c r="R62" s="33">
        <f t="shared" si="7"/>
        <v>2254.0301081669577</v>
      </c>
      <c r="S62" s="34">
        <f t="shared" si="15"/>
        <v>450.80602163339154</v>
      </c>
      <c r="T62" s="36">
        <f t="shared" si="9"/>
        <v>64.400860233341646</v>
      </c>
    </row>
    <row r="63" spans="4:20" x14ac:dyDescent="0.35">
      <c r="D63" s="35" t="s">
        <v>177</v>
      </c>
      <c r="E63" s="31">
        <v>80511.66</v>
      </c>
      <c r="F63" s="32">
        <f t="shared" si="11"/>
        <v>4387.8854700000002</v>
      </c>
      <c r="G63" s="32">
        <f t="shared" si="3"/>
        <v>1083.8108076923077</v>
      </c>
      <c r="H63" s="32">
        <f t="shared" si="16"/>
        <v>805.11660000000006</v>
      </c>
      <c r="I63" s="32">
        <f t="shared" si="16"/>
        <v>2310.6846420000002</v>
      </c>
      <c r="J63" s="32">
        <f t="shared" si="16"/>
        <v>1006.3957500000001</v>
      </c>
      <c r="K63" s="32">
        <f t="shared" si="16"/>
        <v>13686.982200000002</v>
      </c>
      <c r="L63" s="32">
        <f t="shared" si="12"/>
        <v>745.94052990000012</v>
      </c>
      <c r="M63" s="32">
        <f t="shared" si="13"/>
        <v>104538.47599959229</v>
      </c>
      <c r="N63" s="131">
        <f>Lookups!$E$12*$E$10</f>
        <v>0</v>
      </c>
      <c r="O63" s="33">
        <f t="shared" si="5"/>
        <v>104538.47599959229</v>
      </c>
      <c r="P63" s="33">
        <f>O63/(1-Lookups!$E$13)</f>
        <v>104538.47599959229</v>
      </c>
      <c r="Q63" s="34">
        <f t="shared" si="14"/>
        <v>8711.5396666326906</v>
      </c>
      <c r="R63" s="33">
        <f t="shared" si="7"/>
        <v>2375.8744545361883</v>
      </c>
      <c r="S63" s="34">
        <f t="shared" si="15"/>
        <v>475.17489090723768</v>
      </c>
      <c r="T63" s="36">
        <f t="shared" si="9"/>
        <v>67.882127272462526</v>
      </c>
    </row>
    <row r="64" spans="4:20" x14ac:dyDescent="0.35">
      <c r="D64" s="35" t="s">
        <v>178</v>
      </c>
      <c r="E64" s="31">
        <v>84641.64</v>
      </c>
      <c r="F64" s="32">
        <f t="shared" si="11"/>
        <v>4612.9693799999995</v>
      </c>
      <c r="G64" s="32">
        <f t="shared" si="3"/>
        <v>1139.4066923076921</v>
      </c>
      <c r="H64" s="32">
        <f t="shared" si="16"/>
        <v>846.41640000000007</v>
      </c>
      <c r="I64" s="32">
        <f t="shared" si="16"/>
        <v>2429.215068</v>
      </c>
      <c r="J64" s="32">
        <f t="shared" si="16"/>
        <v>1058.0205000000001</v>
      </c>
      <c r="K64" s="32">
        <f t="shared" si="16"/>
        <v>14389.078800000001</v>
      </c>
      <c r="L64" s="32">
        <f t="shared" si="12"/>
        <v>784.20479460000001</v>
      </c>
      <c r="M64" s="32">
        <f t="shared" si="13"/>
        <v>109900.95163490769</v>
      </c>
      <c r="N64" s="131">
        <f>Lookups!$E$12*$E$10</f>
        <v>0</v>
      </c>
      <c r="O64" s="33">
        <f t="shared" si="5"/>
        <v>109900.95163490769</v>
      </c>
      <c r="P64" s="33">
        <f>O64/(1-Lookups!$E$13)</f>
        <v>109900.95163490769</v>
      </c>
      <c r="Q64" s="34">
        <f t="shared" si="14"/>
        <v>9158.4126362423067</v>
      </c>
      <c r="R64" s="33">
        <f t="shared" si="7"/>
        <v>2497.7489007933564</v>
      </c>
      <c r="S64" s="34">
        <f t="shared" si="15"/>
        <v>499.5497801586713</v>
      </c>
      <c r="T64" s="36">
        <f t="shared" si="9"/>
        <v>71.364254308381618</v>
      </c>
    </row>
    <row r="65" spans="4:20" x14ac:dyDescent="0.35">
      <c r="D65" s="35" t="s">
        <v>179</v>
      </c>
      <c r="E65" s="31">
        <v>87994.38</v>
      </c>
      <c r="F65" s="32">
        <f t="shared" si="11"/>
        <v>4795.6937100000005</v>
      </c>
      <c r="G65" s="32">
        <f t="shared" si="3"/>
        <v>1184.5397307692308</v>
      </c>
      <c r="H65" s="32">
        <f t="shared" si="16"/>
        <v>879.94380000000001</v>
      </c>
      <c r="I65" s="32">
        <f t="shared" si="16"/>
        <v>2525.4387059999999</v>
      </c>
      <c r="J65" s="32">
        <f t="shared" si="16"/>
        <v>1099.92975</v>
      </c>
      <c r="K65" s="32">
        <f t="shared" si="16"/>
        <v>14959.044600000001</v>
      </c>
      <c r="L65" s="32">
        <f t="shared" si="12"/>
        <v>815.26793070000008</v>
      </c>
      <c r="M65" s="32">
        <f t="shared" si="13"/>
        <v>114254.23822746924</v>
      </c>
      <c r="N65" s="131">
        <f>Lookups!$E$12*$E$10</f>
        <v>0</v>
      </c>
      <c r="O65" s="33">
        <f t="shared" si="5"/>
        <v>114254.23822746924</v>
      </c>
      <c r="P65" s="33">
        <f>O65/(1-Lookups!$E$13)</f>
        <v>114254.23822746924</v>
      </c>
      <c r="Q65" s="34">
        <f t="shared" si="14"/>
        <v>9521.1865189557702</v>
      </c>
      <c r="R65" s="33">
        <f t="shared" si="7"/>
        <v>2596.6872324424826</v>
      </c>
      <c r="S65" s="34">
        <f t="shared" si="15"/>
        <v>519.33744648849654</v>
      </c>
      <c r="T65" s="36">
        <f t="shared" si="9"/>
        <v>74.191063784070934</v>
      </c>
    </row>
    <row r="66" spans="4:20" x14ac:dyDescent="0.35">
      <c r="D66" s="35" t="s">
        <v>180</v>
      </c>
      <c r="E66" s="31">
        <v>91350.180000000008</v>
      </c>
      <c r="F66" s="32">
        <f t="shared" si="11"/>
        <v>4978.5848100000003</v>
      </c>
      <c r="G66" s="32">
        <f t="shared" si="3"/>
        <v>1229.7139615384617</v>
      </c>
      <c r="H66" s="32">
        <f t="shared" si="16"/>
        <v>913.50180000000012</v>
      </c>
      <c r="I66" s="32">
        <f t="shared" si="16"/>
        <v>2621.7501660000003</v>
      </c>
      <c r="J66" s="32">
        <f t="shared" si="16"/>
        <v>1141.8772500000002</v>
      </c>
      <c r="K66" s="32">
        <f t="shared" si="16"/>
        <v>15529.530600000002</v>
      </c>
      <c r="L66" s="32">
        <f t="shared" si="12"/>
        <v>846.35941770000011</v>
      </c>
      <c r="M66" s="32">
        <f t="shared" si="13"/>
        <v>118611.49800523848</v>
      </c>
      <c r="N66" s="131">
        <f>Lookups!$E$12*$E$10</f>
        <v>0</v>
      </c>
      <c r="O66" s="33">
        <f t="shared" si="5"/>
        <v>118611.49800523848</v>
      </c>
      <c r="P66" s="33">
        <f>O66/(1-Lookups!$E$13)</f>
        <v>118611.49800523848</v>
      </c>
      <c r="Q66" s="34">
        <f t="shared" si="14"/>
        <v>9884.2915004365404</v>
      </c>
      <c r="R66" s="33">
        <f t="shared" si="7"/>
        <v>2695.7158637554198</v>
      </c>
      <c r="S66" s="34">
        <f t="shared" si="15"/>
        <v>539.14317275108397</v>
      </c>
      <c r="T66" s="36">
        <f t="shared" si="9"/>
        <v>77.020453250154858</v>
      </c>
    </row>
    <row r="67" spans="4:20" x14ac:dyDescent="0.35">
      <c r="D67" s="35" t="s">
        <v>181</v>
      </c>
      <c r="E67" s="31">
        <v>94702.92</v>
      </c>
      <c r="F67" s="32">
        <f t="shared" si="11"/>
        <v>5161.3091400000003</v>
      </c>
      <c r="G67" s="32">
        <f t="shared" si="3"/>
        <v>1274.847</v>
      </c>
      <c r="H67" s="32">
        <f t="shared" si="16"/>
        <v>947.02919999999995</v>
      </c>
      <c r="I67" s="32">
        <f t="shared" si="16"/>
        <v>2717.9738039999997</v>
      </c>
      <c r="J67" s="32">
        <f t="shared" si="16"/>
        <v>1183.7864999999999</v>
      </c>
      <c r="K67" s="32">
        <f t="shared" si="16"/>
        <v>16099.4964</v>
      </c>
      <c r="L67" s="32">
        <f t="shared" si="12"/>
        <v>877.42255379999995</v>
      </c>
      <c r="M67" s="32">
        <f t="shared" si="13"/>
        <v>122964.7845978</v>
      </c>
      <c r="N67" s="131">
        <f>Lookups!$E$12*$E$10</f>
        <v>0</v>
      </c>
      <c r="O67" s="33">
        <f t="shared" si="5"/>
        <v>122964.7845978</v>
      </c>
      <c r="P67" s="33">
        <f>O67/(1-Lookups!$E$13)</f>
        <v>122964.7845978</v>
      </c>
      <c r="Q67" s="34">
        <f t="shared" si="14"/>
        <v>10247.06538315</v>
      </c>
      <c r="R67" s="33">
        <f t="shared" si="7"/>
        <v>2794.6541954045456</v>
      </c>
      <c r="S67" s="34">
        <f t="shared" si="15"/>
        <v>558.9308390809091</v>
      </c>
      <c r="T67" s="36">
        <f t="shared" si="9"/>
        <v>79.847262725844161</v>
      </c>
    </row>
    <row r="68" spans="4:20" x14ac:dyDescent="0.35">
      <c r="D68" s="35" t="s">
        <v>182</v>
      </c>
      <c r="E68" s="31">
        <v>98058.72</v>
      </c>
      <c r="F68" s="32">
        <f t="shared" si="11"/>
        <v>5344.2002400000001</v>
      </c>
      <c r="G68" s="32">
        <f t="shared" si="3"/>
        <v>1320.0212307692307</v>
      </c>
      <c r="H68" s="32">
        <f t="shared" si="16"/>
        <v>980.58720000000005</v>
      </c>
      <c r="I68" s="32">
        <f t="shared" si="16"/>
        <v>2814.2852640000001</v>
      </c>
      <c r="J68" s="32">
        <f t="shared" si="16"/>
        <v>1225.7340000000002</v>
      </c>
      <c r="K68" s="32">
        <f t="shared" si="16"/>
        <v>16669.982400000001</v>
      </c>
      <c r="L68" s="32">
        <f t="shared" si="12"/>
        <v>908.51404080000009</v>
      </c>
      <c r="M68" s="32">
        <f t="shared" si="13"/>
        <v>127322.04437556922</v>
      </c>
      <c r="N68" s="131">
        <f>Lookups!$E$12*$E$10</f>
        <v>0</v>
      </c>
      <c r="O68" s="33">
        <f t="shared" si="5"/>
        <v>127322.04437556922</v>
      </c>
      <c r="P68" s="33">
        <f>O68/(1-Lookups!$E$13)</f>
        <v>127322.04437556922</v>
      </c>
      <c r="Q68" s="34">
        <f t="shared" si="14"/>
        <v>10610.170364630769</v>
      </c>
      <c r="R68" s="33">
        <f t="shared" si="7"/>
        <v>2893.6828267174824</v>
      </c>
      <c r="S68" s="34">
        <f t="shared" si="15"/>
        <v>578.73656534349652</v>
      </c>
      <c r="T68" s="36">
        <f t="shared" si="9"/>
        <v>82.676652191928071</v>
      </c>
    </row>
    <row r="69" spans="4:20" x14ac:dyDescent="0.35">
      <c r="D69" s="35" t="s">
        <v>183</v>
      </c>
      <c r="E69" s="31">
        <v>103220.94</v>
      </c>
      <c r="F69" s="32">
        <f t="shared" si="11"/>
        <v>5625.5412299999998</v>
      </c>
      <c r="G69" s="32">
        <f t="shared" si="3"/>
        <v>1389.5126538461539</v>
      </c>
      <c r="H69" s="32">
        <f t="shared" si="16"/>
        <v>1032.2094</v>
      </c>
      <c r="I69" s="32">
        <f t="shared" si="16"/>
        <v>2962.4409780000001</v>
      </c>
      <c r="J69" s="32">
        <f t="shared" si="16"/>
        <v>1290.2617500000001</v>
      </c>
      <c r="K69" s="32">
        <f t="shared" si="16"/>
        <v>17547.559800000003</v>
      </c>
      <c r="L69" s="32">
        <f t="shared" si="12"/>
        <v>956.34200910000015</v>
      </c>
      <c r="M69" s="32">
        <f t="shared" si="13"/>
        <v>134024.80782094615</v>
      </c>
      <c r="N69" s="131">
        <f>Lookups!$E$12*$E$10</f>
        <v>0</v>
      </c>
      <c r="O69" s="33">
        <f t="shared" si="5"/>
        <v>134024.80782094615</v>
      </c>
      <c r="P69" s="33">
        <f>O69/(1-Lookups!$E$13)</f>
        <v>134024.80782094615</v>
      </c>
      <c r="Q69" s="34">
        <f t="shared" si="14"/>
        <v>11168.733985078847</v>
      </c>
      <c r="R69" s="33">
        <f t="shared" si="7"/>
        <v>3046.0183595669582</v>
      </c>
      <c r="S69" s="34">
        <f t="shared" si="15"/>
        <v>609.20367191339164</v>
      </c>
      <c r="T69" s="36">
        <f t="shared" si="9"/>
        <v>87.029095987627372</v>
      </c>
    </row>
    <row r="70" spans="4:20" x14ac:dyDescent="0.35">
      <c r="D70" s="35" t="s">
        <v>184</v>
      </c>
      <c r="E70" s="31">
        <v>107093.88</v>
      </c>
      <c r="F70" s="32">
        <f t="shared" si="11"/>
        <v>5836.6164600000002</v>
      </c>
      <c r="G70" s="32">
        <f t="shared" si="3"/>
        <v>1441.6483846153847</v>
      </c>
      <c r="H70" s="32">
        <f t="shared" si="16"/>
        <v>1070.9388000000001</v>
      </c>
      <c r="I70" s="32">
        <f t="shared" si="16"/>
        <v>3073.5943560000001</v>
      </c>
      <c r="J70" s="32">
        <f t="shared" si="16"/>
        <v>1338.6735000000001</v>
      </c>
      <c r="K70" s="32">
        <f t="shared" si="16"/>
        <v>18205.959600000002</v>
      </c>
      <c r="L70" s="32">
        <f t="shared" si="12"/>
        <v>992.22479820000012</v>
      </c>
      <c r="M70" s="32">
        <f t="shared" si="13"/>
        <v>139053.53589881543</v>
      </c>
      <c r="N70" s="131">
        <f>Lookups!$E$12*$E$10</f>
        <v>0</v>
      </c>
      <c r="O70" s="33">
        <f t="shared" si="5"/>
        <v>139053.53589881543</v>
      </c>
      <c r="P70" s="33">
        <f>O70/(1-Lookups!$E$13)</f>
        <v>139053.53589881543</v>
      </c>
      <c r="Q70" s="34">
        <f t="shared" si="14"/>
        <v>11587.794658234619</v>
      </c>
      <c r="R70" s="33">
        <f t="shared" si="7"/>
        <v>3160.3076340639873</v>
      </c>
      <c r="S70" s="34">
        <f t="shared" si="15"/>
        <v>632.06152681279741</v>
      </c>
      <c r="T70" s="36">
        <f t="shared" si="9"/>
        <v>90.294503830399634</v>
      </c>
    </row>
    <row r="71" spans="4:20" x14ac:dyDescent="0.35">
      <c r="D71" s="35" t="s">
        <v>185</v>
      </c>
      <c r="E71" s="31">
        <v>110960.7</v>
      </c>
      <c r="F71" s="32">
        <f t="shared" si="11"/>
        <v>6047.35815</v>
      </c>
      <c r="G71" s="32">
        <f t="shared" si="3"/>
        <v>1493.7017307692306</v>
      </c>
      <c r="H71" s="32">
        <f t="shared" si="16"/>
        <v>1109.607</v>
      </c>
      <c r="I71" s="32">
        <f t="shared" si="16"/>
        <v>3184.5720900000001</v>
      </c>
      <c r="J71" s="32">
        <f t="shared" si="16"/>
        <v>1387.00875</v>
      </c>
      <c r="K71" s="32">
        <f t="shared" si="16"/>
        <v>18863.319</v>
      </c>
      <c r="L71" s="32">
        <f t="shared" si="12"/>
        <v>1028.0508855</v>
      </c>
      <c r="M71" s="32">
        <f t="shared" si="13"/>
        <v>144074.31760626924</v>
      </c>
      <c r="N71" s="131">
        <f>Lookups!$E$12*$E$10</f>
        <v>0</v>
      </c>
      <c r="O71" s="33">
        <f t="shared" si="5"/>
        <v>144074.31760626924</v>
      </c>
      <c r="P71" s="33">
        <f>O71/(1-Lookups!$E$13)</f>
        <v>144074.31760626924</v>
      </c>
      <c r="Q71" s="34">
        <f t="shared" si="14"/>
        <v>12006.19313385577</v>
      </c>
      <c r="R71" s="33">
        <f t="shared" si="7"/>
        <v>3274.416309233392</v>
      </c>
      <c r="S71" s="34">
        <f t="shared" si="15"/>
        <v>654.88326184667835</v>
      </c>
      <c r="T71" s="36">
        <f t="shared" si="9"/>
        <v>93.554751692382624</v>
      </c>
    </row>
    <row r="72" spans="4:20" x14ac:dyDescent="0.35">
      <c r="D72" s="35" t="s">
        <v>186</v>
      </c>
      <c r="E72" s="31">
        <v>114835.68000000001</v>
      </c>
      <c r="F72" s="32">
        <f t="shared" si="11"/>
        <v>6258.5445600000003</v>
      </c>
      <c r="G72" s="32">
        <f t="shared" si="3"/>
        <v>1545.8649230769229</v>
      </c>
      <c r="H72" s="32">
        <f t="shared" si="16"/>
        <v>1148.3568</v>
      </c>
      <c r="I72" s="32">
        <f t="shared" si="16"/>
        <v>3295.7840160000001</v>
      </c>
      <c r="J72" s="32">
        <f t="shared" si="16"/>
        <v>1435.4460000000001</v>
      </c>
      <c r="K72" s="32">
        <f t="shared" si="16"/>
        <v>19522.065600000002</v>
      </c>
      <c r="L72" s="32">
        <f t="shared" si="12"/>
        <v>1063.9525752000002</v>
      </c>
      <c r="M72" s="32">
        <f t="shared" si="13"/>
        <v>149105.69447427691</v>
      </c>
      <c r="N72" s="131">
        <f>Lookups!$E$12*$E$10</f>
        <v>0</v>
      </c>
      <c r="O72" s="33">
        <f t="shared" si="5"/>
        <v>149105.69447427691</v>
      </c>
      <c r="P72" s="33">
        <f>O72/(1-Lookups!$E$13)</f>
        <v>149105.69447427691</v>
      </c>
      <c r="Q72" s="34">
        <f t="shared" si="14"/>
        <v>12425.474539523077</v>
      </c>
      <c r="R72" s="33">
        <f t="shared" si="7"/>
        <v>3388.7657835062937</v>
      </c>
      <c r="S72" s="34">
        <f t="shared" si="15"/>
        <v>677.75315670125872</v>
      </c>
      <c r="T72" s="36">
        <f t="shared" si="9"/>
        <v>96.821879528751239</v>
      </c>
    </row>
    <row r="73" spans="4:20" x14ac:dyDescent="0.35">
      <c r="D73" s="35" t="s">
        <v>187</v>
      </c>
      <c r="E73" s="31">
        <v>118704.54000000001</v>
      </c>
      <c r="F73" s="32">
        <f t="shared" si="11"/>
        <v>6469.39743</v>
      </c>
      <c r="G73" s="32">
        <f t="shared" si="3"/>
        <v>1597.9457307692307</v>
      </c>
      <c r="H73" s="32">
        <f t="shared" si="16"/>
        <v>1187.0454000000002</v>
      </c>
      <c r="I73" s="32">
        <f t="shared" si="16"/>
        <v>3406.8202980000001</v>
      </c>
      <c r="J73" s="32">
        <f t="shared" si="16"/>
        <v>1483.8067500000002</v>
      </c>
      <c r="K73" s="32">
        <f t="shared" si="16"/>
        <v>20179.771800000002</v>
      </c>
      <c r="L73" s="32">
        <f t="shared" si="12"/>
        <v>1099.7975631000002</v>
      </c>
      <c r="M73" s="32">
        <f t="shared" si="13"/>
        <v>154129.12497186923</v>
      </c>
      <c r="N73" s="131">
        <f>Lookups!$E$12*$E$10</f>
        <v>0</v>
      </c>
      <c r="O73" s="33">
        <f t="shared" si="5"/>
        <v>154129.12497186923</v>
      </c>
      <c r="P73" s="33">
        <f>O73/(1-Lookups!$E$13)</f>
        <v>154129.12497186923</v>
      </c>
      <c r="Q73" s="34">
        <f t="shared" si="14"/>
        <v>12844.093747655768</v>
      </c>
      <c r="R73" s="33">
        <f t="shared" si="7"/>
        <v>3502.9346584515733</v>
      </c>
      <c r="S73" s="34">
        <f t="shared" si="15"/>
        <v>700.58693169031471</v>
      </c>
      <c r="T73" s="36">
        <f t="shared" si="9"/>
        <v>100.08384738433067</v>
      </c>
    </row>
    <row r="74" spans="4:20" x14ac:dyDescent="0.35">
      <c r="D74" s="35" t="s">
        <v>188</v>
      </c>
      <c r="E74" s="31">
        <v>122576.46</v>
      </c>
      <c r="F74" s="32">
        <f t="shared" si="11"/>
        <v>6680.4170700000004</v>
      </c>
      <c r="G74" s="32">
        <f t="shared" si="3"/>
        <v>1650.0677307692308</v>
      </c>
      <c r="H74" s="32">
        <f t="shared" si="16"/>
        <v>1225.7646000000002</v>
      </c>
      <c r="I74" s="32">
        <f t="shared" si="16"/>
        <v>3517.9444020000001</v>
      </c>
      <c r="J74" s="32">
        <f t="shared" si="16"/>
        <v>1532.2057500000001</v>
      </c>
      <c r="K74" s="32">
        <f t="shared" si="16"/>
        <v>20837.998200000002</v>
      </c>
      <c r="L74" s="32">
        <f t="shared" si="12"/>
        <v>1135.6709019</v>
      </c>
      <c r="M74" s="32">
        <f t="shared" si="13"/>
        <v>159156.52865466924</v>
      </c>
      <c r="N74" s="131">
        <f>Lookups!$E$12*$E$10</f>
        <v>0</v>
      </c>
      <c r="O74" s="33">
        <f t="shared" si="5"/>
        <v>159156.52865466924</v>
      </c>
      <c r="P74" s="33">
        <f>O74/(1-Lookups!$E$13)</f>
        <v>159156.52865466924</v>
      </c>
      <c r="Q74" s="34">
        <f t="shared" si="14"/>
        <v>13263.04405455577</v>
      </c>
      <c r="R74" s="33">
        <f t="shared" si="7"/>
        <v>3617.1938330606645</v>
      </c>
      <c r="S74" s="34">
        <f t="shared" si="15"/>
        <v>723.43876661213289</v>
      </c>
      <c r="T74" s="36">
        <f t="shared" si="9"/>
        <v>103.3483952303047</v>
      </c>
    </row>
    <row r="75" spans="4:20" x14ac:dyDescent="0.35">
      <c r="D75" s="35" t="s">
        <v>189</v>
      </c>
      <c r="E75" s="31">
        <v>126446.34</v>
      </c>
      <c r="F75" s="32">
        <f t="shared" si="11"/>
        <v>6891.3255300000001</v>
      </c>
      <c r="G75" s="32">
        <f t="shared" si="3"/>
        <v>1702.1622692307692</v>
      </c>
      <c r="H75" s="32">
        <f t="shared" si="16"/>
        <v>1264.4634000000001</v>
      </c>
      <c r="I75" s="32">
        <f t="shared" si="16"/>
        <v>3629.0099580000001</v>
      </c>
      <c r="J75" s="32">
        <f t="shared" si="16"/>
        <v>1580.57925</v>
      </c>
      <c r="K75" s="32">
        <f t="shared" si="16"/>
        <v>21495.877800000002</v>
      </c>
      <c r="L75" s="32">
        <f t="shared" si="12"/>
        <v>1171.5253401</v>
      </c>
      <c r="M75" s="32">
        <f t="shared" si="13"/>
        <v>164181.28354733076</v>
      </c>
      <c r="N75" s="131">
        <f>Lookups!$E$12*$E$10</f>
        <v>0</v>
      </c>
      <c r="O75" s="33">
        <f t="shared" si="5"/>
        <v>164181.28354733076</v>
      </c>
      <c r="P75" s="33">
        <f>O75/(1-Lookups!$E$13)</f>
        <v>164181.28354733076</v>
      </c>
      <c r="Q75" s="34">
        <f t="shared" si="14"/>
        <v>13681.773628944231</v>
      </c>
      <c r="R75" s="33">
        <f t="shared" si="7"/>
        <v>3731.3928078938811</v>
      </c>
      <c r="S75" s="34">
        <f t="shared" si="15"/>
        <v>746.27856157877625</v>
      </c>
      <c r="T75" s="36">
        <f t="shared" si="9"/>
        <v>106.61122308268232</v>
      </c>
    </row>
    <row r="76" spans="4:20" x14ac:dyDescent="0.35">
      <c r="D76" s="35" t="s">
        <v>190</v>
      </c>
      <c r="E76" s="31">
        <v>130320.3</v>
      </c>
      <c r="F76" s="32">
        <f t="shared" si="11"/>
        <v>7102.4563500000004</v>
      </c>
      <c r="G76" s="32">
        <f t="shared" si="3"/>
        <v>1754.3117307692305</v>
      </c>
      <c r="H76" s="32">
        <f t="shared" si="16"/>
        <v>1303.203</v>
      </c>
      <c r="I76" s="32">
        <f t="shared" si="16"/>
        <v>3740.1926100000001</v>
      </c>
      <c r="J76" s="32">
        <f t="shared" si="16"/>
        <v>1629.0037500000001</v>
      </c>
      <c r="K76" s="32">
        <f t="shared" si="16"/>
        <v>22154.451000000001</v>
      </c>
      <c r="L76" s="32">
        <f t="shared" si="12"/>
        <v>1207.4175795000001</v>
      </c>
      <c r="M76" s="32">
        <f t="shared" si="13"/>
        <v>169211.33602026926</v>
      </c>
      <c r="N76" s="131">
        <f>Lookups!$E$12*$E$10</f>
        <v>0</v>
      </c>
      <c r="O76" s="33">
        <f t="shared" si="5"/>
        <v>169211.33602026926</v>
      </c>
      <c r="P76" s="33">
        <f>O76/(1-Lookups!$E$13)</f>
        <v>169211.33602026926</v>
      </c>
      <c r="Q76" s="34">
        <f t="shared" si="14"/>
        <v>14100.944668355771</v>
      </c>
      <c r="R76" s="33">
        <f t="shared" si="7"/>
        <v>3845.7121822788467</v>
      </c>
      <c r="S76" s="34">
        <f t="shared" si="15"/>
        <v>769.14243645576937</v>
      </c>
      <c r="T76" s="36">
        <f t="shared" si="9"/>
        <v>109.87749092225276</v>
      </c>
    </row>
    <row r="77" spans="4:20" x14ac:dyDescent="0.35">
      <c r="D77" s="35" t="s">
        <v>191</v>
      </c>
      <c r="E77" s="31">
        <v>134187.12</v>
      </c>
      <c r="F77" s="32">
        <f t="shared" si="11"/>
        <v>7313.1980399999993</v>
      </c>
      <c r="G77" s="32">
        <f t="shared" si="3"/>
        <v>1806.3650769230769</v>
      </c>
      <c r="H77" s="32">
        <f t="shared" si="16"/>
        <v>1341.8712</v>
      </c>
      <c r="I77" s="32">
        <f t="shared" si="16"/>
        <v>3851.1703439999997</v>
      </c>
      <c r="J77" s="32">
        <f t="shared" si="16"/>
        <v>1677.3389999999999</v>
      </c>
      <c r="K77" s="32">
        <f t="shared" si="16"/>
        <v>22811.810400000002</v>
      </c>
      <c r="L77" s="32">
        <f t="shared" si="12"/>
        <v>1243.2436668</v>
      </c>
      <c r="M77" s="32">
        <f t="shared" si="13"/>
        <v>174232.11772772306</v>
      </c>
      <c r="N77" s="131">
        <f>Lookups!$E$12*$E$10</f>
        <v>0</v>
      </c>
      <c r="O77" s="33">
        <f t="shared" si="5"/>
        <v>174232.11772772306</v>
      </c>
      <c r="P77" s="33">
        <f>O77/(1-Lookups!$E$13)</f>
        <v>174232.11772772306</v>
      </c>
      <c r="Q77" s="34">
        <f t="shared" si="14"/>
        <v>14519.343143976921</v>
      </c>
      <c r="R77" s="33">
        <f t="shared" si="7"/>
        <v>3959.8208574482514</v>
      </c>
      <c r="S77" s="34">
        <f t="shared" si="15"/>
        <v>791.96417148965031</v>
      </c>
      <c r="T77" s="36">
        <f t="shared" si="9"/>
        <v>113.13773878423576</v>
      </c>
    </row>
    <row r="78" spans="4:20" x14ac:dyDescent="0.35">
      <c r="D78" s="35" t="s">
        <v>192</v>
      </c>
      <c r="E78" s="31">
        <v>138060.06</v>
      </c>
      <c r="F78" s="32">
        <f t="shared" si="11"/>
        <v>7524.2732699999997</v>
      </c>
      <c r="G78" s="32">
        <f t="shared" si="3"/>
        <v>1858.5008076923075</v>
      </c>
      <c r="H78" s="32">
        <f t="shared" ref="H78:K91" si="17">$E78*H$16</f>
        <v>1380.6006</v>
      </c>
      <c r="I78" s="32">
        <f t="shared" si="17"/>
        <v>3962.3237220000001</v>
      </c>
      <c r="J78" s="32">
        <f t="shared" si="17"/>
        <v>1725.7507500000002</v>
      </c>
      <c r="K78" s="32">
        <f t="shared" si="17"/>
        <v>23470.210200000001</v>
      </c>
      <c r="L78" s="32">
        <f t="shared" si="12"/>
        <v>1279.1264559000001</v>
      </c>
      <c r="M78" s="32">
        <f t="shared" si="13"/>
        <v>179260.84580559231</v>
      </c>
      <c r="N78" s="131">
        <f>Lookups!$E$12*$E$10</f>
        <v>0</v>
      </c>
      <c r="O78" s="33">
        <f t="shared" si="5"/>
        <v>179260.84580559231</v>
      </c>
      <c r="P78" s="33">
        <f>O78/(1-Lookups!$E$13)</f>
        <v>179260.84580559231</v>
      </c>
      <c r="Q78" s="34">
        <f t="shared" si="14"/>
        <v>14938.403817132692</v>
      </c>
      <c r="R78" s="33">
        <f t="shared" si="7"/>
        <v>4074.11013194528</v>
      </c>
      <c r="S78" s="34">
        <f t="shared" si="15"/>
        <v>814.82202638905596</v>
      </c>
      <c r="T78" s="36">
        <f t="shared" si="9"/>
        <v>116.403146627008</v>
      </c>
    </row>
    <row r="79" spans="4:20" x14ac:dyDescent="0.35">
      <c r="D79" s="35" t="s">
        <v>193</v>
      </c>
      <c r="E79" s="31">
        <v>141925.86000000002</v>
      </c>
      <c r="F79" s="32">
        <f t="shared" si="11"/>
        <v>7734.9593700000005</v>
      </c>
      <c r="G79" s="32">
        <f t="shared" si="3"/>
        <v>1910.5404230769232</v>
      </c>
      <c r="H79" s="32">
        <f t="shared" si="17"/>
        <v>1419.2586000000001</v>
      </c>
      <c r="I79" s="32">
        <f t="shared" si="17"/>
        <v>4073.2721820000006</v>
      </c>
      <c r="J79" s="32">
        <f t="shared" si="17"/>
        <v>1774.0732500000004</v>
      </c>
      <c r="K79" s="32">
        <f t="shared" si="17"/>
        <v>24127.396200000003</v>
      </c>
      <c r="L79" s="32">
        <f t="shared" si="12"/>
        <v>1314.9430929000002</v>
      </c>
      <c r="M79" s="32">
        <f t="shared" si="13"/>
        <v>184280.3031179769</v>
      </c>
      <c r="N79" s="131">
        <f>Lookups!$E$12*$E$10</f>
        <v>0</v>
      </c>
      <c r="O79" s="33">
        <f t="shared" si="5"/>
        <v>184280.3031179769</v>
      </c>
      <c r="P79" s="33">
        <f>O79/(1-Lookups!$E$13)</f>
        <v>184280.3031179769</v>
      </c>
      <c r="Q79" s="34">
        <f t="shared" si="14"/>
        <v>15356.691926498075</v>
      </c>
      <c r="R79" s="33">
        <f t="shared" si="7"/>
        <v>4188.1887072267473</v>
      </c>
      <c r="S79" s="34">
        <f t="shared" si="15"/>
        <v>837.63774144534955</v>
      </c>
      <c r="T79" s="36">
        <f t="shared" si="9"/>
        <v>119.66253449219279</v>
      </c>
    </row>
    <row r="80" spans="4:20" x14ac:dyDescent="0.35">
      <c r="D80" s="35" t="s">
        <v>194</v>
      </c>
      <c r="E80" s="31">
        <v>145802.88</v>
      </c>
      <c r="F80" s="32">
        <f t="shared" si="11"/>
        <v>7946.2569600000006</v>
      </c>
      <c r="G80" s="32">
        <f t="shared" si="3"/>
        <v>1962.7310769230769</v>
      </c>
      <c r="H80" s="32">
        <f t="shared" si="17"/>
        <v>1458.0288</v>
      </c>
      <c r="I80" s="32">
        <f t="shared" si="17"/>
        <v>4184.5426560000005</v>
      </c>
      <c r="J80" s="32">
        <f t="shared" si="17"/>
        <v>1822.5360000000001</v>
      </c>
      <c r="K80" s="32">
        <f t="shared" si="17"/>
        <v>24786.489600000001</v>
      </c>
      <c r="L80" s="32">
        <f t="shared" si="12"/>
        <v>1350.8636832</v>
      </c>
      <c r="M80" s="32">
        <f t="shared" si="13"/>
        <v>189314.32877612309</v>
      </c>
      <c r="N80" s="131">
        <f>Lookups!$E$12*$E$10</f>
        <v>0</v>
      </c>
      <c r="O80" s="33">
        <f t="shared" si="5"/>
        <v>189314.32877612309</v>
      </c>
      <c r="P80" s="33">
        <f>O80/(1-Lookups!$E$13)</f>
        <v>189314.32877612309</v>
      </c>
      <c r="Q80" s="34">
        <f t="shared" si="14"/>
        <v>15776.194064676924</v>
      </c>
      <c r="R80" s="33">
        <f t="shared" si="7"/>
        <v>4302.5983812755248</v>
      </c>
      <c r="S80" s="34">
        <f t="shared" si="15"/>
        <v>860.51967625510497</v>
      </c>
      <c r="T80" s="36">
        <f t="shared" si="9"/>
        <v>122.93138232215786</v>
      </c>
    </row>
    <row r="81" spans="4:20" x14ac:dyDescent="0.35">
      <c r="D81" s="35" t="s">
        <v>195</v>
      </c>
      <c r="E81" s="31">
        <v>152252.34</v>
      </c>
      <c r="F81" s="32">
        <f t="shared" si="11"/>
        <v>8297.7525299999998</v>
      </c>
      <c r="G81" s="32">
        <f t="shared" si="3"/>
        <v>2049.5507307692305</v>
      </c>
      <c r="H81" s="32">
        <f t="shared" si="17"/>
        <v>1522.5234</v>
      </c>
      <c r="I81" s="32">
        <f t="shared" si="17"/>
        <v>4369.6421579999997</v>
      </c>
      <c r="J81" s="32">
        <f t="shared" si="17"/>
        <v>1903.15425</v>
      </c>
      <c r="K81" s="32">
        <f t="shared" si="17"/>
        <v>25882.897800000002</v>
      </c>
      <c r="L81" s="32">
        <f t="shared" si="12"/>
        <v>1410.6179301000002</v>
      </c>
      <c r="M81" s="32">
        <f t="shared" si="13"/>
        <v>197688.47879886924</v>
      </c>
      <c r="N81" s="131">
        <f>Lookups!$E$12*$E$10</f>
        <v>0</v>
      </c>
      <c r="O81" s="33">
        <f t="shared" si="5"/>
        <v>197688.47879886924</v>
      </c>
      <c r="P81" s="33">
        <f>O81/(1-Lookups!$E$13)</f>
        <v>197688.47879886924</v>
      </c>
      <c r="Q81" s="34">
        <f t="shared" si="14"/>
        <v>16474.039899905769</v>
      </c>
      <c r="R81" s="33">
        <f t="shared" si="7"/>
        <v>4492.9199727015739</v>
      </c>
      <c r="S81" s="34">
        <f t="shared" si="15"/>
        <v>898.58399454031473</v>
      </c>
      <c r="T81" s="36">
        <f t="shared" si="9"/>
        <v>128.36914207718783</v>
      </c>
    </row>
    <row r="82" spans="4:20" x14ac:dyDescent="0.35">
      <c r="D82" s="35" t="s">
        <v>196</v>
      </c>
      <c r="E82" s="31">
        <v>157409.46</v>
      </c>
      <c r="F82" s="32">
        <f t="shared" ref="F82:F107" si="18">$E82*F$16</f>
        <v>8578.8155699999988</v>
      </c>
      <c r="G82" s="32">
        <f t="shared" si="3"/>
        <v>2118.9734999999996</v>
      </c>
      <c r="H82" s="32">
        <f t="shared" si="17"/>
        <v>1574.0945999999999</v>
      </c>
      <c r="I82" s="32">
        <f t="shared" si="17"/>
        <v>4517.6515019999997</v>
      </c>
      <c r="J82" s="32">
        <f t="shared" si="17"/>
        <v>1967.61825</v>
      </c>
      <c r="K82" s="32">
        <f t="shared" si="17"/>
        <v>26759.608199999999</v>
      </c>
      <c r="L82" s="32">
        <f t="shared" ref="L82:L107" si="19">$K82*L$16</f>
        <v>1458.3986468999999</v>
      </c>
      <c r="M82" s="32">
        <f t="shared" ref="M82:M107" si="20">SUM(E82:L82)</f>
        <v>204384.62026889998</v>
      </c>
      <c r="N82" s="131">
        <f>Lookups!$E$12*$E$10</f>
        <v>0</v>
      </c>
      <c r="O82" s="33">
        <f>$M82*(1+N82)</f>
        <v>204384.62026889998</v>
      </c>
      <c r="P82" s="33">
        <f>O82/(1-Lookups!$E$13)</f>
        <v>204384.62026889998</v>
      </c>
      <c r="Q82" s="34">
        <f t="shared" ref="Q82:Q107" si="21">$P82/Q$16</f>
        <v>17032.051689074997</v>
      </c>
      <c r="R82" s="33">
        <f>S82*R$16</f>
        <v>4645.1050061113629</v>
      </c>
      <c r="S82" s="34">
        <f>$P82/S$16</f>
        <v>929.02100122227262</v>
      </c>
      <c r="T82" s="36">
        <f>S82/T$16</f>
        <v>132.7172858888961</v>
      </c>
    </row>
    <row r="83" spans="4:20" x14ac:dyDescent="0.35">
      <c r="D83" s="35" t="s">
        <v>197</v>
      </c>
      <c r="E83" s="31">
        <v>162571.68</v>
      </c>
      <c r="F83" s="32">
        <f t="shared" si="18"/>
        <v>8860.1565599999994</v>
      </c>
      <c r="G83" s="32">
        <f t="shared" ref="G83:G152" si="22">$E83*G$16*4/52</f>
        <v>2188.4649230769228</v>
      </c>
      <c r="H83" s="32">
        <f t="shared" si="17"/>
        <v>1625.7167999999999</v>
      </c>
      <c r="I83" s="32">
        <f t="shared" si="17"/>
        <v>4665.8072160000002</v>
      </c>
      <c r="J83" s="32">
        <f t="shared" si="17"/>
        <v>2032.146</v>
      </c>
      <c r="K83" s="32">
        <f t="shared" si="17"/>
        <v>27637.185600000001</v>
      </c>
      <c r="L83" s="32">
        <f t="shared" si="19"/>
        <v>1506.2266152</v>
      </c>
      <c r="M83" s="32">
        <f t="shared" si="20"/>
        <v>211087.38371427689</v>
      </c>
      <c r="N83" s="131">
        <f>Lookups!$E$12*$E$10</f>
        <v>0</v>
      </c>
      <c r="O83" s="33">
        <f t="shared" ref="O83:O152" si="23">$M83*(1+N83)</f>
        <v>211087.38371427689</v>
      </c>
      <c r="P83" s="33">
        <f>O83/(1-Lookups!$E$13)</f>
        <v>211087.38371427689</v>
      </c>
      <c r="Q83" s="34">
        <f t="shared" si="21"/>
        <v>17590.615309523073</v>
      </c>
      <c r="R83" s="33">
        <f t="shared" ref="R83:R152" si="24">S83*R$16</f>
        <v>4797.4405389608382</v>
      </c>
      <c r="S83" s="34">
        <f t="shared" ref="S83:S107" si="25">$P83/S$16</f>
        <v>959.48810779216763</v>
      </c>
      <c r="T83" s="36">
        <f t="shared" ref="T83:T132" si="26">S83/T$16</f>
        <v>137.06972968459539</v>
      </c>
    </row>
    <row r="84" spans="4:20" x14ac:dyDescent="0.35">
      <c r="D84" s="35" t="s">
        <v>71</v>
      </c>
      <c r="E84" s="31">
        <v>167730.84</v>
      </c>
      <c r="F84" s="32">
        <f t="shared" si="18"/>
        <v>9141.3307800000002</v>
      </c>
      <c r="G84" s="32">
        <f t="shared" si="22"/>
        <v>2257.9151538461538</v>
      </c>
      <c r="H84" s="32">
        <f t="shared" si="17"/>
        <v>1677.3083999999999</v>
      </c>
      <c r="I84" s="32">
        <f t="shared" si="17"/>
        <v>4813.8751080000002</v>
      </c>
      <c r="J84" s="32">
        <f t="shared" si="17"/>
        <v>2096.6354999999999</v>
      </c>
      <c r="K84" s="32">
        <f t="shared" si="17"/>
        <v>28514.2428</v>
      </c>
      <c r="L84" s="32">
        <f t="shared" si="19"/>
        <v>1554.0262326</v>
      </c>
      <c r="M84" s="32">
        <f t="shared" si="20"/>
        <v>217786.17397444617</v>
      </c>
      <c r="N84" s="131">
        <f>Lookups!$E$12*$E$10</f>
        <v>0</v>
      </c>
      <c r="O84" s="33">
        <f t="shared" si="23"/>
        <v>217786.17397444617</v>
      </c>
      <c r="P84" s="33">
        <f>O84/(1-Lookups!$E$13)</f>
        <v>217786.17397444617</v>
      </c>
      <c r="Q84" s="34">
        <f t="shared" si="21"/>
        <v>18148.847831203846</v>
      </c>
      <c r="R84" s="33">
        <f t="shared" si="24"/>
        <v>4949.685772146504</v>
      </c>
      <c r="S84" s="34">
        <f t="shared" si="25"/>
        <v>989.93715442930079</v>
      </c>
      <c r="T84" s="36">
        <f t="shared" si="26"/>
        <v>141.41959348990011</v>
      </c>
    </row>
    <row r="85" spans="4:20" x14ac:dyDescent="0.35">
      <c r="D85" s="35" t="s">
        <v>198</v>
      </c>
      <c r="E85" s="31">
        <v>196123.56</v>
      </c>
      <c r="F85" s="32">
        <f t="shared" si="18"/>
        <v>10688.73402</v>
      </c>
      <c r="G85" s="32">
        <f t="shared" si="22"/>
        <v>2640.1248461538462</v>
      </c>
      <c r="H85" s="32">
        <f t="shared" si="17"/>
        <v>1961.2356</v>
      </c>
      <c r="I85" s="32">
        <f t="shared" si="17"/>
        <v>5628.7461720000001</v>
      </c>
      <c r="J85" s="32">
        <f t="shared" si="17"/>
        <v>2451.5445</v>
      </c>
      <c r="K85" s="32">
        <f t="shared" si="17"/>
        <v>33341.0052</v>
      </c>
      <c r="L85" s="32">
        <f t="shared" si="19"/>
        <v>1817.0847833999999</v>
      </c>
      <c r="M85" s="32">
        <f t="shared" si="20"/>
        <v>254652.03512155381</v>
      </c>
      <c r="N85" s="131">
        <f>Lookups!$E$12*$E$10</f>
        <v>0</v>
      </c>
      <c r="O85" s="33">
        <f t="shared" si="23"/>
        <v>254652.03512155381</v>
      </c>
      <c r="P85" s="33">
        <f>O85/(1-Lookups!$E$13)</f>
        <v>254652.03512155381</v>
      </c>
      <c r="Q85" s="34">
        <f t="shared" si="21"/>
        <v>21221.002926796151</v>
      </c>
      <c r="R85" s="33">
        <f t="shared" si="24"/>
        <v>5787.5462527625868</v>
      </c>
      <c r="S85" s="34">
        <f t="shared" si="25"/>
        <v>1157.5092505525174</v>
      </c>
      <c r="T85" s="36">
        <f t="shared" si="26"/>
        <v>165.35846436464536</v>
      </c>
    </row>
    <row r="86" spans="4:20" x14ac:dyDescent="0.35">
      <c r="D86" s="35" t="s">
        <v>199</v>
      </c>
      <c r="E86" s="31">
        <v>196123.56</v>
      </c>
      <c r="F86" s="32">
        <f t="shared" si="18"/>
        <v>10688.73402</v>
      </c>
      <c r="G86" s="32">
        <f t="shared" si="22"/>
        <v>2640.1248461538462</v>
      </c>
      <c r="H86" s="32">
        <f t="shared" si="17"/>
        <v>1961.2356</v>
      </c>
      <c r="I86" s="32">
        <f t="shared" si="17"/>
        <v>5628.7461720000001</v>
      </c>
      <c r="J86" s="32">
        <f t="shared" si="17"/>
        <v>2451.5445</v>
      </c>
      <c r="K86" s="32">
        <f t="shared" si="17"/>
        <v>33341.0052</v>
      </c>
      <c r="L86" s="32">
        <f t="shared" si="19"/>
        <v>1817.0847833999999</v>
      </c>
      <c r="M86" s="32">
        <f t="shared" si="20"/>
        <v>254652.03512155381</v>
      </c>
      <c r="N86" s="131">
        <f>Lookups!$E$12*$E$10</f>
        <v>0</v>
      </c>
      <c r="O86" s="33">
        <f t="shared" si="23"/>
        <v>254652.03512155381</v>
      </c>
      <c r="P86" s="33">
        <f>O86/(1-Lookups!$E$13)</f>
        <v>254652.03512155381</v>
      </c>
      <c r="Q86" s="34">
        <f t="shared" si="21"/>
        <v>21221.002926796151</v>
      </c>
      <c r="R86" s="33">
        <f t="shared" si="24"/>
        <v>5787.5462527625868</v>
      </c>
      <c r="S86" s="34">
        <f t="shared" si="25"/>
        <v>1157.5092505525174</v>
      </c>
      <c r="T86" s="36">
        <f t="shared" si="26"/>
        <v>165.35846436464536</v>
      </c>
    </row>
    <row r="87" spans="4:20" x14ac:dyDescent="0.35">
      <c r="D87" s="35" t="s">
        <v>200</v>
      </c>
      <c r="E87" s="31">
        <v>196123.56</v>
      </c>
      <c r="F87" s="32">
        <f t="shared" si="18"/>
        <v>10688.73402</v>
      </c>
      <c r="G87" s="32">
        <f t="shared" si="22"/>
        <v>2640.1248461538462</v>
      </c>
      <c r="H87" s="32">
        <f t="shared" si="17"/>
        <v>1961.2356</v>
      </c>
      <c r="I87" s="32">
        <f t="shared" si="17"/>
        <v>5628.7461720000001</v>
      </c>
      <c r="J87" s="32">
        <f t="shared" si="17"/>
        <v>2451.5445</v>
      </c>
      <c r="K87" s="32">
        <f t="shared" si="17"/>
        <v>33341.0052</v>
      </c>
      <c r="L87" s="32">
        <f t="shared" si="19"/>
        <v>1817.0847833999999</v>
      </c>
      <c r="M87" s="32">
        <f t="shared" si="20"/>
        <v>254652.03512155381</v>
      </c>
      <c r="N87" s="131">
        <f>Lookups!$E$12*$E$10</f>
        <v>0</v>
      </c>
      <c r="O87" s="33">
        <f t="shared" si="23"/>
        <v>254652.03512155381</v>
      </c>
      <c r="P87" s="33">
        <f>O87/(1-Lookups!$E$13)</f>
        <v>254652.03512155381</v>
      </c>
      <c r="Q87" s="34">
        <f t="shared" si="21"/>
        <v>21221.002926796151</v>
      </c>
      <c r="R87" s="33">
        <f t="shared" si="24"/>
        <v>5787.5462527625868</v>
      </c>
      <c r="S87" s="34">
        <f t="shared" si="25"/>
        <v>1157.5092505525174</v>
      </c>
      <c r="T87" s="36">
        <f t="shared" si="26"/>
        <v>165.35846436464536</v>
      </c>
    </row>
    <row r="88" spans="4:20" x14ac:dyDescent="0.35">
      <c r="D88" s="35" t="s">
        <v>201</v>
      </c>
      <c r="E88" s="31">
        <v>109480.68000000001</v>
      </c>
      <c r="F88" s="32">
        <f t="shared" si="18"/>
        <v>5966.6970600000004</v>
      </c>
      <c r="G88" s="32">
        <f t="shared" si="22"/>
        <v>1473.7783846153845</v>
      </c>
      <c r="H88" s="32">
        <f t="shared" si="17"/>
        <v>1094.8068000000001</v>
      </c>
      <c r="I88" s="32">
        <f t="shared" si="17"/>
        <v>3142.0955160000003</v>
      </c>
      <c r="J88" s="32">
        <f t="shared" si="17"/>
        <v>1368.5085000000001</v>
      </c>
      <c r="K88" s="32">
        <f t="shared" si="17"/>
        <v>18611.715600000003</v>
      </c>
      <c r="L88" s="32">
        <f t="shared" si="19"/>
        <v>1014.3385002000002</v>
      </c>
      <c r="M88" s="32">
        <f t="shared" si="20"/>
        <v>142152.62036081543</v>
      </c>
      <c r="N88" s="131">
        <f>Lookups!$E$12*$E$10</f>
        <v>0</v>
      </c>
      <c r="O88" s="33">
        <f t="shared" si="23"/>
        <v>142152.62036081543</v>
      </c>
      <c r="P88" s="33">
        <f>O88/(1-Lookups!$E$13)</f>
        <v>142152.62036081543</v>
      </c>
      <c r="Q88" s="34">
        <f t="shared" si="21"/>
        <v>11846.051696734619</v>
      </c>
      <c r="R88" s="33">
        <f t="shared" si="24"/>
        <v>3230.7413718367143</v>
      </c>
      <c r="S88" s="34">
        <f t="shared" si="25"/>
        <v>646.14827436734288</v>
      </c>
      <c r="T88" s="36">
        <f t="shared" si="26"/>
        <v>92.306896338191834</v>
      </c>
    </row>
    <row r="89" spans="4:20" x14ac:dyDescent="0.35">
      <c r="D89" s="35" t="s">
        <v>202</v>
      </c>
      <c r="E89" s="31">
        <v>111534.96</v>
      </c>
      <c r="F89" s="32">
        <f t="shared" si="18"/>
        <v>6078.6553200000008</v>
      </c>
      <c r="G89" s="32">
        <f t="shared" si="22"/>
        <v>1501.4321538461538</v>
      </c>
      <c r="H89" s="32">
        <f t="shared" si="17"/>
        <v>1115.3496</v>
      </c>
      <c r="I89" s="32">
        <f t="shared" si="17"/>
        <v>3201.0533520000004</v>
      </c>
      <c r="J89" s="32">
        <f t="shared" si="17"/>
        <v>1394.1870000000001</v>
      </c>
      <c r="K89" s="32">
        <f t="shared" si="17"/>
        <v>18960.943200000002</v>
      </c>
      <c r="L89" s="32">
        <f t="shared" si="19"/>
        <v>1033.3714044000001</v>
      </c>
      <c r="M89" s="32">
        <f t="shared" si="20"/>
        <v>144819.95203024618</v>
      </c>
      <c r="N89" s="131">
        <f>Lookups!$E$12*$E$10</f>
        <v>0</v>
      </c>
      <c r="O89" s="33">
        <f t="shared" si="23"/>
        <v>144819.95203024618</v>
      </c>
      <c r="P89" s="33">
        <f>O89/(1-Lookups!$E$13)</f>
        <v>144819.95203024618</v>
      </c>
      <c r="Q89" s="34">
        <f t="shared" si="21"/>
        <v>12068.329335853849</v>
      </c>
      <c r="R89" s="33">
        <f t="shared" si="24"/>
        <v>3291.3625461419588</v>
      </c>
      <c r="S89" s="34">
        <f t="shared" si="25"/>
        <v>658.27250922839175</v>
      </c>
      <c r="T89" s="36">
        <f t="shared" si="26"/>
        <v>94.038929889770245</v>
      </c>
    </row>
    <row r="90" spans="4:20" x14ac:dyDescent="0.35">
      <c r="D90" s="35" t="s">
        <v>203</v>
      </c>
      <c r="E90" s="31">
        <v>113621.88</v>
      </c>
      <c r="F90" s="32">
        <f t="shared" si="18"/>
        <v>6192.39246</v>
      </c>
      <c r="G90" s="32">
        <f t="shared" si="22"/>
        <v>1529.5253076923075</v>
      </c>
      <c r="H90" s="32">
        <f t="shared" si="17"/>
        <v>1136.2188000000001</v>
      </c>
      <c r="I90" s="32">
        <f t="shared" si="17"/>
        <v>3260.947956</v>
      </c>
      <c r="J90" s="32">
        <f t="shared" si="17"/>
        <v>1420.2735000000002</v>
      </c>
      <c r="K90" s="32">
        <f t="shared" si="17"/>
        <v>19315.719600000004</v>
      </c>
      <c r="L90" s="32">
        <f t="shared" si="19"/>
        <v>1052.7067182000003</v>
      </c>
      <c r="M90" s="32">
        <f t="shared" si="20"/>
        <v>147529.66434189232</v>
      </c>
      <c r="N90" s="131">
        <f>Lookups!$E$12*$E$10</f>
        <v>0</v>
      </c>
      <c r="O90" s="33">
        <f t="shared" si="23"/>
        <v>147529.66434189232</v>
      </c>
      <c r="P90" s="33">
        <f>O90/(1-Lookups!$E$13)</f>
        <v>147529.66434189232</v>
      </c>
      <c r="Q90" s="34">
        <f t="shared" si="21"/>
        <v>12294.138695157693</v>
      </c>
      <c r="R90" s="33">
        <f t="shared" si="24"/>
        <v>3352.9469168611886</v>
      </c>
      <c r="S90" s="34">
        <f t="shared" si="25"/>
        <v>670.58938337223776</v>
      </c>
      <c r="T90" s="36">
        <f t="shared" si="26"/>
        <v>95.798483338891103</v>
      </c>
    </row>
    <row r="91" spans="4:20" x14ac:dyDescent="0.35">
      <c r="D91" s="35" t="s">
        <v>204</v>
      </c>
      <c r="E91" s="31">
        <v>67167</v>
      </c>
      <c r="F91" s="32">
        <f t="shared" si="18"/>
        <v>3660.6015000000002</v>
      </c>
      <c r="G91" s="32">
        <f t="shared" si="22"/>
        <v>904.17115384615374</v>
      </c>
      <c r="H91" s="32">
        <f t="shared" si="17"/>
        <v>671.67</v>
      </c>
      <c r="I91" s="32">
        <f t="shared" si="17"/>
        <v>1927.6929</v>
      </c>
      <c r="J91" s="32">
        <f t="shared" si="17"/>
        <v>839.58750000000009</v>
      </c>
      <c r="K91" s="32">
        <f t="shared" si="17"/>
        <v>11418.390000000001</v>
      </c>
      <c r="L91" s="32">
        <f t="shared" si="19"/>
        <v>622.30225500000006</v>
      </c>
      <c r="M91" s="32">
        <f t="shared" si="20"/>
        <v>87211.415308846146</v>
      </c>
      <c r="N91" s="131">
        <f>Lookups!$E$12*$E$10</f>
        <v>0</v>
      </c>
      <c r="O91" s="33">
        <f t="shared" si="23"/>
        <v>87211.415308846146</v>
      </c>
      <c r="P91" s="33">
        <f>O91/(1-Lookups!$E$13)</f>
        <v>87211.415308846146</v>
      </c>
      <c r="Q91" s="34">
        <f t="shared" si="21"/>
        <v>7267.6179424038455</v>
      </c>
      <c r="R91" s="33">
        <f t="shared" si="24"/>
        <v>1982.0776206555943</v>
      </c>
      <c r="S91" s="34">
        <f t="shared" si="25"/>
        <v>396.41552413111884</v>
      </c>
      <c r="T91" s="36">
        <f t="shared" si="26"/>
        <v>56.630789161588403</v>
      </c>
    </row>
    <row r="92" spans="4:20" x14ac:dyDescent="0.35">
      <c r="D92" s="35" t="s">
        <v>205</v>
      </c>
      <c r="E92" s="31">
        <v>70815.540000000008</v>
      </c>
      <c r="F92" s="32">
        <f t="shared" si="18"/>
        <v>3859.4469300000005</v>
      </c>
      <c r="G92" s="32">
        <f t="shared" si="22"/>
        <v>953.28611538461541</v>
      </c>
      <c r="H92" s="32">
        <f t="shared" ref="H92:K111" si="27">$E92*H$16</f>
        <v>708.1554000000001</v>
      </c>
      <c r="I92" s="32">
        <f t="shared" si="27"/>
        <v>2032.4059980000002</v>
      </c>
      <c r="J92" s="32">
        <f t="shared" si="27"/>
        <v>885.19425000000012</v>
      </c>
      <c r="K92" s="32">
        <f t="shared" si="27"/>
        <v>12038.641800000003</v>
      </c>
      <c r="L92" s="32">
        <f t="shared" si="19"/>
        <v>656.10597810000013</v>
      </c>
      <c r="M92" s="32">
        <f t="shared" si="20"/>
        <v>91948.776471484627</v>
      </c>
      <c r="N92" s="131">
        <f>Lookups!$E$12*$E$10</f>
        <v>0</v>
      </c>
      <c r="O92" s="33">
        <f t="shared" si="23"/>
        <v>91948.776471484627</v>
      </c>
      <c r="P92" s="33">
        <f>O92/(1-Lookups!$E$13)</f>
        <v>91948.776471484627</v>
      </c>
      <c r="Q92" s="34">
        <f t="shared" si="21"/>
        <v>7662.3980392903859</v>
      </c>
      <c r="R92" s="33">
        <f t="shared" si="24"/>
        <v>2089.7449198064687</v>
      </c>
      <c r="S92" s="34">
        <f t="shared" si="25"/>
        <v>417.94898396129378</v>
      </c>
      <c r="T92" s="36">
        <f t="shared" si="26"/>
        <v>59.706997708756255</v>
      </c>
    </row>
    <row r="93" spans="4:20" x14ac:dyDescent="0.35">
      <c r="D93" s="35" t="s">
        <v>206</v>
      </c>
      <c r="E93" s="31">
        <v>74461.02</v>
      </c>
      <c r="F93" s="32">
        <f t="shared" si="18"/>
        <v>4058.1255900000001</v>
      </c>
      <c r="G93" s="32">
        <f t="shared" si="22"/>
        <v>1002.3598846153847</v>
      </c>
      <c r="H93" s="32">
        <f t="shared" si="27"/>
        <v>744.61020000000008</v>
      </c>
      <c r="I93" s="32">
        <f t="shared" si="27"/>
        <v>2137.0312739999999</v>
      </c>
      <c r="J93" s="32">
        <f t="shared" si="27"/>
        <v>930.7627500000001</v>
      </c>
      <c r="K93" s="32">
        <f t="shared" si="27"/>
        <v>12658.373400000002</v>
      </c>
      <c r="L93" s="32">
        <f t="shared" si="19"/>
        <v>689.88135030000012</v>
      </c>
      <c r="M93" s="32">
        <f t="shared" si="20"/>
        <v>96682.16444891537</v>
      </c>
      <c r="N93" s="131">
        <f>Lookups!$E$12*$E$10</f>
        <v>0</v>
      </c>
      <c r="O93" s="33">
        <f t="shared" si="23"/>
        <v>96682.16444891537</v>
      </c>
      <c r="P93" s="33">
        <f>O93/(1-Lookups!$E$13)</f>
        <v>96682.16444891537</v>
      </c>
      <c r="Q93" s="34">
        <f t="shared" si="21"/>
        <v>8056.8470374096141</v>
      </c>
      <c r="R93" s="33">
        <f t="shared" si="24"/>
        <v>2197.3219192935312</v>
      </c>
      <c r="S93" s="34">
        <f t="shared" si="25"/>
        <v>439.46438385870624</v>
      </c>
      <c r="T93" s="36">
        <f t="shared" si="26"/>
        <v>62.780626265529463</v>
      </c>
    </row>
    <row r="94" spans="4:20" x14ac:dyDescent="0.35">
      <c r="D94" s="35" t="s">
        <v>207</v>
      </c>
      <c r="E94" s="31">
        <v>78115.680000000008</v>
      </c>
      <c r="F94" s="32">
        <f t="shared" si="18"/>
        <v>4257.3045600000005</v>
      </c>
      <c r="G94" s="32">
        <f t="shared" si="22"/>
        <v>1051.5572307692307</v>
      </c>
      <c r="H94" s="32">
        <f t="shared" si="27"/>
        <v>781.15680000000009</v>
      </c>
      <c r="I94" s="32">
        <f t="shared" si="27"/>
        <v>2241.920016</v>
      </c>
      <c r="J94" s="32">
        <f t="shared" si="27"/>
        <v>976.44600000000014</v>
      </c>
      <c r="K94" s="32">
        <f t="shared" si="27"/>
        <v>13279.665600000002</v>
      </c>
      <c r="L94" s="32">
        <f t="shared" si="19"/>
        <v>723.74177520000012</v>
      </c>
      <c r="M94" s="32">
        <f t="shared" si="20"/>
        <v>101427.47198196925</v>
      </c>
      <c r="N94" s="131">
        <f>Lookups!$E$12*$E$10</f>
        <v>0</v>
      </c>
      <c r="O94" s="33">
        <f t="shared" si="23"/>
        <v>101427.47198196925</v>
      </c>
      <c r="P94" s="33">
        <f>O94/(1-Lookups!$E$13)</f>
        <v>101427.47198196925</v>
      </c>
      <c r="Q94" s="34">
        <f t="shared" si="21"/>
        <v>8452.2893318307706</v>
      </c>
      <c r="R94" s="33">
        <f t="shared" si="24"/>
        <v>2305.1698177720286</v>
      </c>
      <c r="S94" s="34">
        <f t="shared" si="25"/>
        <v>461.03396355440572</v>
      </c>
      <c r="T94" s="36">
        <f t="shared" si="26"/>
        <v>65.861994793486531</v>
      </c>
    </row>
    <row r="95" spans="4:20" x14ac:dyDescent="0.35">
      <c r="D95" s="35" t="s">
        <v>208</v>
      </c>
      <c r="E95" s="31">
        <v>81768.3</v>
      </c>
      <c r="F95" s="32">
        <f t="shared" si="18"/>
        <v>4456.3723500000006</v>
      </c>
      <c r="G95" s="32">
        <f t="shared" si="22"/>
        <v>1100.7271153846154</v>
      </c>
      <c r="H95" s="32">
        <f t="shared" si="27"/>
        <v>817.68299999999999</v>
      </c>
      <c r="I95" s="32">
        <f t="shared" si="27"/>
        <v>2346.7502100000002</v>
      </c>
      <c r="J95" s="32">
        <f t="shared" si="27"/>
        <v>1022.1037500000001</v>
      </c>
      <c r="K95" s="32">
        <f t="shared" si="27"/>
        <v>13900.611000000001</v>
      </c>
      <c r="L95" s="32">
        <f t="shared" si="19"/>
        <v>757.58329950000007</v>
      </c>
      <c r="M95" s="32">
        <f t="shared" si="20"/>
        <v>106170.13072488461</v>
      </c>
      <c r="N95" s="131">
        <f>Lookups!$E$12*$E$10</f>
        <v>0</v>
      </c>
      <c r="O95" s="33">
        <f t="shared" si="23"/>
        <v>106170.13072488461</v>
      </c>
      <c r="P95" s="33">
        <f>O95/(1-Lookups!$E$13)</f>
        <v>106170.13072488461</v>
      </c>
      <c r="Q95" s="34">
        <f t="shared" si="21"/>
        <v>8847.5108937403838</v>
      </c>
      <c r="R95" s="33">
        <f t="shared" si="24"/>
        <v>2412.9575164746502</v>
      </c>
      <c r="S95" s="34">
        <f t="shared" si="25"/>
        <v>482.59150329493008</v>
      </c>
      <c r="T95" s="36">
        <f t="shared" si="26"/>
        <v>68.94164332784716</v>
      </c>
    </row>
    <row r="96" spans="4:20" x14ac:dyDescent="0.35">
      <c r="D96" s="35" t="s">
        <v>209</v>
      </c>
      <c r="E96" s="31">
        <v>85413.78</v>
      </c>
      <c r="F96" s="32">
        <f t="shared" si="18"/>
        <v>4655.0510100000001</v>
      </c>
      <c r="G96" s="32">
        <f t="shared" si="22"/>
        <v>1149.8008846153846</v>
      </c>
      <c r="H96" s="32">
        <f t="shared" si="27"/>
        <v>854.13779999999997</v>
      </c>
      <c r="I96" s="32">
        <f t="shared" si="27"/>
        <v>2451.3754859999999</v>
      </c>
      <c r="J96" s="32">
        <f t="shared" si="27"/>
        <v>1067.6722500000001</v>
      </c>
      <c r="K96" s="32">
        <f t="shared" si="27"/>
        <v>14520.3426</v>
      </c>
      <c r="L96" s="32">
        <f t="shared" si="19"/>
        <v>791.35867169999995</v>
      </c>
      <c r="M96" s="32">
        <f t="shared" si="20"/>
        <v>110903.51870231538</v>
      </c>
      <c r="N96" s="131">
        <f>Lookups!$E$12*$E$10</f>
        <v>0</v>
      </c>
      <c r="O96" s="33">
        <f t="shared" si="23"/>
        <v>110903.51870231538</v>
      </c>
      <c r="P96" s="33">
        <f>O96/(1-Lookups!$E$13)</f>
        <v>110903.51870231538</v>
      </c>
      <c r="Q96" s="34">
        <f t="shared" si="21"/>
        <v>9241.9598918596148</v>
      </c>
      <c r="R96" s="33">
        <f t="shared" si="24"/>
        <v>2520.5345159617132</v>
      </c>
      <c r="S96" s="34">
        <f t="shared" si="25"/>
        <v>504.10690319234266</v>
      </c>
      <c r="T96" s="36">
        <f t="shared" si="26"/>
        <v>72.015271884620375</v>
      </c>
    </row>
    <row r="97" spans="4:20" x14ac:dyDescent="0.35">
      <c r="D97" s="35" t="s">
        <v>210</v>
      </c>
      <c r="E97" s="31">
        <v>89062.32</v>
      </c>
      <c r="F97" s="32">
        <f t="shared" si="18"/>
        <v>4853.8964400000004</v>
      </c>
      <c r="G97" s="32">
        <f t="shared" si="22"/>
        <v>1198.9158461538461</v>
      </c>
      <c r="H97" s="32">
        <f t="shared" si="27"/>
        <v>890.62320000000011</v>
      </c>
      <c r="I97" s="32">
        <f t="shared" si="27"/>
        <v>2556.0885840000001</v>
      </c>
      <c r="J97" s="32">
        <f t="shared" si="27"/>
        <v>1113.2790000000002</v>
      </c>
      <c r="K97" s="32">
        <f t="shared" si="27"/>
        <v>15140.594400000002</v>
      </c>
      <c r="L97" s="32">
        <f t="shared" si="19"/>
        <v>825.16239480000013</v>
      </c>
      <c r="M97" s="32">
        <f t="shared" si="20"/>
        <v>115640.87986495385</v>
      </c>
      <c r="N97" s="131">
        <f>Lookups!$E$12*$E$10</f>
        <v>0</v>
      </c>
      <c r="O97" s="33">
        <f t="shared" si="23"/>
        <v>115640.87986495385</v>
      </c>
      <c r="P97" s="33">
        <f>O97/(1-Lookups!$E$13)</f>
        <v>115640.87986495385</v>
      </c>
      <c r="Q97" s="34">
        <f t="shared" si="21"/>
        <v>9636.7399887461543</v>
      </c>
      <c r="R97" s="33">
        <f t="shared" si="24"/>
        <v>2628.2018151125876</v>
      </c>
      <c r="S97" s="34">
        <f t="shared" si="25"/>
        <v>525.64036302251748</v>
      </c>
      <c r="T97" s="36">
        <f t="shared" si="26"/>
        <v>75.091480431788213</v>
      </c>
    </row>
    <row r="98" spans="4:20" x14ac:dyDescent="0.35">
      <c r="D98" s="35" t="s">
        <v>211</v>
      </c>
      <c r="E98" s="31">
        <v>92708.82</v>
      </c>
      <c r="F98" s="32">
        <f t="shared" si="18"/>
        <v>5052.63069</v>
      </c>
      <c r="G98" s="32">
        <f t="shared" si="22"/>
        <v>1248.0033461538462</v>
      </c>
      <c r="H98" s="32">
        <f t="shared" si="27"/>
        <v>927.08820000000014</v>
      </c>
      <c r="I98" s="32">
        <f t="shared" si="27"/>
        <v>2660.7431340000003</v>
      </c>
      <c r="J98" s="32">
        <f t="shared" si="27"/>
        <v>1158.8602500000002</v>
      </c>
      <c r="K98" s="32">
        <f t="shared" si="27"/>
        <v>15760.499400000002</v>
      </c>
      <c r="L98" s="32">
        <f t="shared" si="19"/>
        <v>858.94721730000015</v>
      </c>
      <c r="M98" s="32">
        <f t="shared" si="20"/>
        <v>120375.59223745385</v>
      </c>
      <c r="N98" s="131">
        <f>Lookups!$E$12*$E$10</f>
        <v>0</v>
      </c>
      <c r="O98" s="33">
        <f t="shared" si="23"/>
        <v>120375.59223745385</v>
      </c>
      <c r="P98" s="33">
        <f>O98/(1-Lookups!$E$13)</f>
        <v>120375.59223745385</v>
      </c>
      <c r="Q98" s="34">
        <f t="shared" si="21"/>
        <v>10031.299353121154</v>
      </c>
      <c r="R98" s="33">
        <f t="shared" si="24"/>
        <v>2735.8089144875876</v>
      </c>
      <c r="S98" s="34">
        <f t="shared" si="25"/>
        <v>547.16178289751747</v>
      </c>
      <c r="T98" s="36">
        <f t="shared" si="26"/>
        <v>78.16596898535964</v>
      </c>
    </row>
    <row r="99" spans="4:20" x14ac:dyDescent="0.35">
      <c r="D99" s="35" t="s">
        <v>212</v>
      </c>
      <c r="E99" s="31">
        <v>96357.36</v>
      </c>
      <c r="F99" s="32">
        <f t="shared" si="18"/>
        <v>5251.4761200000003</v>
      </c>
      <c r="G99" s="32">
        <f t="shared" si="22"/>
        <v>1297.1183076923078</v>
      </c>
      <c r="H99" s="32">
        <f t="shared" si="27"/>
        <v>963.57360000000006</v>
      </c>
      <c r="I99" s="32">
        <f t="shared" si="27"/>
        <v>2765.456232</v>
      </c>
      <c r="J99" s="32">
        <f t="shared" si="27"/>
        <v>1204.4670000000001</v>
      </c>
      <c r="K99" s="32">
        <f t="shared" si="27"/>
        <v>16380.751200000001</v>
      </c>
      <c r="L99" s="32">
        <f t="shared" si="19"/>
        <v>892.75094039999999</v>
      </c>
      <c r="M99" s="32">
        <f t="shared" si="20"/>
        <v>125112.95340009232</v>
      </c>
      <c r="N99" s="131">
        <f>Lookups!$E$12*$E$10</f>
        <v>0</v>
      </c>
      <c r="O99" s="33">
        <f t="shared" si="23"/>
        <v>125112.95340009232</v>
      </c>
      <c r="P99" s="33">
        <f>O99/(1-Lookups!$E$13)</f>
        <v>125112.95340009232</v>
      </c>
      <c r="Q99" s="34">
        <f t="shared" si="21"/>
        <v>10426.079450007694</v>
      </c>
      <c r="R99" s="33">
        <f t="shared" si="24"/>
        <v>2843.4762136384616</v>
      </c>
      <c r="S99" s="34">
        <f t="shared" si="25"/>
        <v>568.69524272769229</v>
      </c>
      <c r="T99" s="36">
        <f t="shared" si="26"/>
        <v>81.242177532527464</v>
      </c>
    </row>
    <row r="100" spans="4:20" x14ac:dyDescent="0.35">
      <c r="D100" s="35" t="s">
        <v>213</v>
      </c>
      <c r="E100" s="31">
        <v>100012.02</v>
      </c>
      <c r="F100" s="32">
        <f t="shared" si="18"/>
        <v>5450.6550900000002</v>
      </c>
      <c r="G100" s="32">
        <f t="shared" si="22"/>
        <v>1346.315653846154</v>
      </c>
      <c r="H100" s="32">
        <f t="shared" si="27"/>
        <v>1000.1202000000001</v>
      </c>
      <c r="I100" s="32">
        <f t="shared" si="27"/>
        <v>2870.3449740000001</v>
      </c>
      <c r="J100" s="32">
        <f t="shared" si="27"/>
        <v>1250.1502500000001</v>
      </c>
      <c r="K100" s="32">
        <f t="shared" si="27"/>
        <v>17002.043400000002</v>
      </c>
      <c r="L100" s="32">
        <f t="shared" si="19"/>
        <v>926.6113653000001</v>
      </c>
      <c r="M100" s="32">
        <f t="shared" si="20"/>
        <v>129858.26093314619</v>
      </c>
      <c r="N100" s="131">
        <f>Lookups!$E$12*$E$10</f>
        <v>0</v>
      </c>
      <c r="O100" s="33">
        <f t="shared" si="23"/>
        <v>129858.26093314619</v>
      </c>
      <c r="P100" s="33">
        <f>O100/(1-Lookups!$E$13)</f>
        <v>129858.26093314619</v>
      </c>
      <c r="Q100" s="34">
        <f t="shared" si="21"/>
        <v>10821.521744428848</v>
      </c>
      <c r="R100" s="33">
        <f t="shared" si="24"/>
        <v>2951.3241121169585</v>
      </c>
      <c r="S100" s="34">
        <f t="shared" si="25"/>
        <v>590.26482242339171</v>
      </c>
      <c r="T100" s="36">
        <f t="shared" si="26"/>
        <v>84.323546060484531</v>
      </c>
    </row>
    <row r="101" spans="4:20" x14ac:dyDescent="0.35">
      <c r="D101" s="35" t="s">
        <v>214</v>
      </c>
      <c r="E101" s="31">
        <v>109480.68000000001</v>
      </c>
      <c r="F101" s="32">
        <f t="shared" si="18"/>
        <v>5966.6970600000004</v>
      </c>
      <c r="G101" s="32">
        <f t="shared" si="22"/>
        <v>1473.7783846153845</v>
      </c>
      <c r="H101" s="32">
        <f t="shared" si="27"/>
        <v>1094.8068000000001</v>
      </c>
      <c r="I101" s="32">
        <f t="shared" si="27"/>
        <v>3142.0955160000003</v>
      </c>
      <c r="J101" s="32">
        <f t="shared" si="27"/>
        <v>1368.5085000000001</v>
      </c>
      <c r="K101" s="32">
        <f t="shared" si="27"/>
        <v>18611.715600000003</v>
      </c>
      <c r="L101" s="32">
        <f t="shared" si="19"/>
        <v>1014.3385002000002</v>
      </c>
      <c r="M101" s="32">
        <f t="shared" si="20"/>
        <v>142152.62036081543</v>
      </c>
      <c r="N101" s="131">
        <f>Lookups!$E$12*$E$10</f>
        <v>0</v>
      </c>
      <c r="O101" s="33">
        <f t="shared" si="23"/>
        <v>142152.62036081543</v>
      </c>
      <c r="P101" s="33">
        <f>O101/(1-Lookups!$E$13)</f>
        <v>142152.62036081543</v>
      </c>
      <c r="Q101" s="34">
        <f t="shared" si="21"/>
        <v>11846.051696734619</v>
      </c>
      <c r="R101" s="33">
        <f t="shared" si="24"/>
        <v>3230.7413718367143</v>
      </c>
      <c r="S101" s="34">
        <f t="shared" si="25"/>
        <v>646.14827436734288</v>
      </c>
      <c r="T101" s="36">
        <f t="shared" si="26"/>
        <v>92.306896338191834</v>
      </c>
    </row>
    <row r="102" spans="4:20" x14ac:dyDescent="0.35">
      <c r="D102" s="35" t="s">
        <v>215</v>
      </c>
      <c r="E102" s="31">
        <v>111534.96</v>
      </c>
      <c r="F102" s="32">
        <f t="shared" si="18"/>
        <v>6078.6553200000008</v>
      </c>
      <c r="G102" s="32">
        <f t="shared" si="22"/>
        <v>1501.4321538461538</v>
      </c>
      <c r="H102" s="32">
        <f t="shared" si="27"/>
        <v>1115.3496</v>
      </c>
      <c r="I102" s="32">
        <f t="shared" si="27"/>
        <v>3201.0533520000004</v>
      </c>
      <c r="J102" s="32">
        <f t="shared" si="27"/>
        <v>1394.1870000000001</v>
      </c>
      <c r="K102" s="32">
        <f t="shared" si="27"/>
        <v>18960.943200000002</v>
      </c>
      <c r="L102" s="32">
        <f t="shared" si="19"/>
        <v>1033.3714044000001</v>
      </c>
      <c r="M102" s="32">
        <f t="shared" si="20"/>
        <v>144819.95203024618</v>
      </c>
      <c r="N102" s="131">
        <f>Lookups!$E$12*$E$10</f>
        <v>0</v>
      </c>
      <c r="O102" s="33">
        <f t="shared" si="23"/>
        <v>144819.95203024618</v>
      </c>
      <c r="P102" s="33">
        <f>O102/(1-Lookups!$E$13)</f>
        <v>144819.95203024618</v>
      </c>
      <c r="Q102" s="34">
        <f t="shared" si="21"/>
        <v>12068.329335853849</v>
      </c>
      <c r="R102" s="33">
        <f t="shared" si="24"/>
        <v>3291.3625461419588</v>
      </c>
      <c r="S102" s="34">
        <f t="shared" si="25"/>
        <v>658.27250922839175</v>
      </c>
      <c r="T102" s="36">
        <f t="shared" si="26"/>
        <v>94.038929889770245</v>
      </c>
    </row>
    <row r="103" spans="4:20" x14ac:dyDescent="0.35">
      <c r="D103" s="35" t="s">
        <v>216</v>
      </c>
      <c r="E103" s="31">
        <v>113621.88</v>
      </c>
      <c r="F103" s="32">
        <f t="shared" si="18"/>
        <v>6192.39246</v>
      </c>
      <c r="G103" s="32">
        <f t="shared" si="22"/>
        <v>1529.5253076923075</v>
      </c>
      <c r="H103" s="32">
        <f t="shared" si="27"/>
        <v>1136.2188000000001</v>
      </c>
      <c r="I103" s="32">
        <f t="shared" si="27"/>
        <v>3260.947956</v>
      </c>
      <c r="J103" s="32">
        <f t="shared" si="27"/>
        <v>1420.2735000000002</v>
      </c>
      <c r="K103" s="32">
        <f t="shared" si="27"/>
        <v>19315.719600000004</v>
      </c>
      <c r="L103" s="32">
        <f t="shared" si="19"/>
        <v>1052.7067182000003</v>
      </c>
      <c r="M103" s="32">
        <f t="shared" si="20"/>
        <v>147529.66434189232</v>
      </c>
      <c r="N103" s="131">
        <f>Lookups!$E$12*$E$10</f>
        <v>0</v>
      </c>
      <c r="O103" s="33">
        <f t="shared" si="23"/>
        <v>147529.66434189232</v>
      </c>
      <c r="P103" s="33">
        <f>O103/(1-Lookups!$E$13)</f>
        <v>147529.66434189232</v>
      </c>
      <c r="Q103" s="34">
        <f t="shared" si="21"/>
        <v>12294.138695157693</v>
      </c>
      <c r="R103" s="33">
        <f t="shared" si="24"/>
        <v>3352.9469168611886</v>
      </c>
      <c r="S103" s="34">
        <f t="shared" si="25"/>
        <v>670.58938337223776</v>
      </c>
      <c r="T103" s="36">
        <f t="shared" si="26"/>
        <v>95.798483338891103</v>
      </c>
    </row>
    <row r="104" spans="4:20" x14ac:dyDescent="0.35">
      <c r="D104" s="35" t="s">
        <v>217</v>
      </c>
      <c r="E104" s="31">
        <v>72254.759999999995</v>
      </c>
      <c r="F104" s="32">
        <f t="shared" si="18"/>
        <v>3937.8844199999999</v>
      </c>
      <c r="G104" s="32">
        <f t="shared" si="22"/>
        <v>972.66023076923068</v>
      </c>
      <c r="H104" s="32">
        <f t="shared" si="27"/>
        <v>722.54759999999999</v>
      </c>
      <c r="I104" s="32">
        <f t="shared" si="27"/>
        <v>2073.7116120000001</v>
      </c>
      <c r="J104" s="32">
        <f t="shared" si="27"/>
        <v>903.18449999999996</v>
      </c>
      <c r="K104" s="32">
        <f t="shared" si="27"/>
        <v>12283.3092</v>
      </c>
      <c r="L104" s="32">
        <f t="shared" si="19"/>
        <v>669.44035139999994</v>
      </c>
      <c r="M104" s="32">
        <f t="shared" si="20"/>
        <v>93817.497914169246</v>
      </c>
      <c r="N104" s="131">
        <f>Lookups!$E$12*$E$10</f>
        <v>0</v>
      </c>
      <c r="O104" s="33">
        <f t="shared" si="23"/>
        <v>93817.497914169246</v>
      </c>
      <c r="P104" s="33">
        <f>O104/(1-Lookups!$E$13)</f>
        <v>93817.497914169246</v>
      </c>
      <c r="Q104" s="34">
        <f t="shared" si="21"/>
        <v>7818.1248261807705</v>
      </c>
      <c r="R104" s="33">
        <f t="shared" si="24"/>
        <v>2132.2158616856645</v>
      </c>
      <c r="S104" s="34">
        <f t="shared" si="25"/>
        <v>426.44317233713292</v>
      </c>
      <c r="T104" s="36">
        <f t="shared" si="26"/>
        <v>60.920453191018986</v>
      </c>
    </row>
    <row r="105" spans="4:20" x14ac:dyDescent="0.35">
      <c r="D105" s="35" t="s">
        <v>218</v>
      </c>
      <c r="E105" s="31">
        <v>75308.639999999999</v>
      </c>
      <c r="F105" s="32">
        <f t="shared" si="18"/>
        <v>4104.3208800000002</v>
      </c>
      <c r="G105" s="32">
        <f t="shared" si="22"/>
        <v>1013.7701538461538</v>
      </c>
      <c r="H105" s="32">
        <f t="shared" si="27"/>
        <v>753.08640000000003</v>
      </c>
      <c r="I105" s="32">
        <f t="shared" si="27"/>
        <v>2161.3579679999998</v>
      </c>
      <c r="J105" s="32">
        <f t="shared" si="27"/>
        <v>941.35800000000006</v>
      </c>
      <c r="K105" s="32">
        <f t="shared" si="27"/>
        <v>12802.468800000001</v>
      </c>
      <c r="L105" s="32">
        <f t="shared" si="19"/>
        <v>697.73454960000004</v>
      </c>
      <c r="M105" s="32">
        <f t="shared" si="20"/>
        <v>97782.736751446151</v>
      </c>
      <c r="N105" s="131">
        <f>Lookups!$E$12*$E$10</f>
        <v>0</v>
      </c>
      <c r="O105" s="33">
        <f t="shared" si="23"/>
        <v>97782.736751446151</v>
      </c>
      <c r="P105" s="33">
        <f>O105/(1-Lookups!$E$13)</f>
        <v>97782.736751446151</v>
      </c>
      <c r="Q105" s="34">
        <f t="shared" si="21"/>
        <v>8148.5613959538459</v>
      </c>
      <c r="R105" s="33">
        <f t="shared" si="24"/>
        <v>2222.3349261692306</v>
      </c>
      <c r="S105" s="34">
        <f t="shared" si="25"/>
        <v>444.46698523384612</v>
      </c>
      <c r="T105" s="36">
        <f t="shared" si="26"/>
        <v>63.495283604835159</v>
      </c>
    </row>
    <row r="106" spans="4:20" x14ac:dyDescent="0.35">
      <c r="D106" s="35" t="s">
        <v>219</v>
      </c>
      <c r="E106" s="31">
        <v>79376.399999999994</v>
      </c>
      <c r="F106" s="32">
        <f t="shared" si="18"/>
        <v>4326.0137999999997</v>
      </c>
      <c r="G106" s="32">
        <f t="shared" si="22"/>
        <v>1068.5284615384614</v>
      </c>
      <c r="H106" s="32">
        <f t="shared" si="27"/>
        <v>793.76400000000001</v>
      </c>
      <c r="I106" s="32">
        <f t="shared" si="27"/>
        <v>2278.10268</v>
      </c>
      <c r="J106" s="32">
        <f t="shared" si="27"/>
        <v>992.20499999999993</v>
      </c>
      <c r="K106" s="32">
        <f t="shared" si="27"/>
        <v>13493.987999999999</v>
      </c>
      <c r="L106" s="32">
        <f t="shared" si="19"/>
        <v>735.42234599999995</v>
      </c>
      <c r="M106" s="32">
        <f t="shared" si="20"/>
        <v>103064.42428753845</v>
      </c>
      <c r="N106" s="131">
        <f>Lookups!$E$12*$E$10</f>
        <v>0</v>
      </c>
      <c r="O106" s="33">
        <f t="shared" si="23"/>
        <v>103064.42428753845</v>
      </c>
      <c r="P106" s="33">
        <f>O106/(1-Lookups!$E$13)</f>
        <v>103064.42428753845</v>
      </c>
      <c r="Q106" s="34">
        <f t="shared" si="21"/>
        <v>8588.7020239615376</v>
      </c>
      <c r="R106" s="33">
        <f t="shared" si="24"/>
        <v>2342.3732792622372</v>
      </c>
      <c r="S106" s="34">
        <f t="shared" si="25"/>
        <v>468.47465585244748</v>
      </c>
      <c r="T106" s="36">
        <f t="shared" si="26"/>
        <v>66.924950836063928</v>
      </c>
    </row>
    <row r="107" spans="4:20" x14ac:dyDescent="0.35">
      <c r="D107" s="35" t="s">
        <v>220</v>
      </c>
      <c r="E107" s="31">
        <v>83449.259999999995</v>
      </c>
      <c r="F107" s="32">
        <f t="shared" si="18"/>
        <v>4547.9846699999998</v>
      </c>
      <c r="G107" s="32">
        <f t="shared" si="22"/>
        <v>1123.3554230769228</v>
      </c>
      <c r="H107" s="32">
        <f t="shared" si="27"/>
        <v>834.49259999999992</v>
      </c>
      <c r="I107" s="32">
        <f t="shared" si="27"/>
        <v>2394.9937620000001</v>
      </c>
      <c r="J107" s="32">
        <f t="shared" si="27"/>
        <v>1043.1157499999999</v>
      </c>
      <c r="K107" s="32">
        <f t="shared" si="27"/>
        <v>14186.3742</v>
      </c>
      <c r="L107" s="32">
        <f t="shared" si="19"/>
        <v>773.15739389999999</v>
      </c>
      <c r="M107" s="32">
        <f t="shared" si="20"/>
        <v>108352.73379897691</v>
      </c>
      <c r="N107" s="131">
        <f>Lookups!$E$12*$E$10</f>
        <v>0</v>
      </c>
      <c r="O107" s="33">
        <f t="shared" si="23"/>
        <v>108352.73379897691</v>
      </c>
      <c r="P107" s="33">
        <f>O107/(1-Lookups!$E$13)</f>
        <v>108352.73379897691</v>
      </c>
      <c r="Q107" s="34">
        <f t="shared" si="21"/>
        <v>9029.3944832480756</v>
      </c>
      <c r="R107" s="33">
        <f t="shared" si="24"/>
        <v>2462.5621317949299</v>
      </c>
      <c r="S107" s="34">
        <f t="shared" si="25"/>
        <v>492.51242635898598</v>
      </c>
      <c r="T107" s="36">
        <f t="shared" si="26"/>
        <v>70.358918051283709</v>
      </c>
    </row>
    <row r="108" spans="4:20" x14ac:dyDescent="0.35">
      <c r="D108" s="35" t="s">
        <v>221</v>
      </c>
      <c r="E108" s="31">
        <v>86503.14</v>
      </c>
      <c r="F108" s="32">
        <f t="shared" ref="F108:F151" si="28">$E108*F$16</f>
        <v>4714.4211299999997</v>
      </c>
      <c r="G108" s="32">
        <f t="shared" si="22"/>
        <v>1164.465346153846</v>
      </c>
      <c r="H108" s="32">
        <f t="shared" si="27"/>
        <v>865.03139999999996</v>
      </c>
      <c r="I108" s="32">
        <f t="shared" si="27"/>
        <v>2482.6401179999998</v>
      </c>
      <c r="J108" s="32">
        <f t="shared" si="27"/>
        <v>1081.28925</v>
      </c>
      <c r="K108" s="32">
        <f t="shared" si="27"/>
        <v>14705.533800000001</v>
      </c>
      <c r="L108" s="32">
        <f t="shared" ref="L108:L151" si="29">$K108*L$16</f>
        <v>801.45159210000008</v>
      </c>
      <c r="M108" s="32">
        <f t="shared" ref="M108:M151" si="30">SUM(E108:L108)</f>
        <v>112317.97263625385</v>
      </c>
      <c r="N108" s="131">
        <f>Lookups!$E$12*$E$10</f>
        <v>0</v>
      </c>
      <c r="O108" s="33">
        <f t="shared" si="23"/>
        <v>112317.97263625385</v>
      </c>
      <c r="P108" s="33">
        <f>O108/(1-Lookups!$E$13)</f>
        <v>112317.97263625385</v>
      </c>
      <c r="Q108" s="34">
        <f t="shared" ref="Q108:Q151" si="31">$P108/Q$16</f>
        <v>9359.8310530211547</v>
      </c>
      <c r="R108" s="33">
        <f t="shared" si="24"/>
        <v>2552.6811962784968</v>
      </c>
      <c r="S108" s="34">
        <f t="shared" ref="S108:S151" si="32">$P108/S$16</f>
        <v>510.53623925569934</v>
      </c>
      <c r="T108" s="36">
        <f t="shared" si="26"/>
        <v>72.93374846509991</v>
      </c>
    </row>
    <row r="109" spans="4:20" x14ac:dyDescent="0.35">
      <c r="D109" s="35" t="s">
        <v>222</v>
      </c>
      <c r="E109" s="31">
        <v>90577.02</v>
      </c>
      <c r="F109" s="32">
        <f t="shared" si="28"/>
        <v>4936.4475899999998</v>
      </c>
      <c r="G109" s="32">
        <f t="shared" si="22"/>
        <v>1219.3060384615385</v>
      </c>
      <c r="H109" s="32">
        <f t="shared" si="27"/>
        <v>905.77020000000005</v>
      </c>
      <c r="I109" s="32">
        <f t="shared" si="27"/>
        <v>2599.5604739999999</v>
      </c>
      <c r="J109" s="32">
        <f t="shared" si="27"/>
        <v>1132.2127500000001</v>
      </c>
      <c r="K109" s="32">
        <f t="shared" si="27"/>
        <v>15398.093400000002</v>
      </c>
      <c r="L109" s="32">
        <f t="shared" si="29"/>
        <v>839.19609030000004</v>
      </c>
      <c r="M109" s="32">
        <f t="shared" si="30"/>
        <v>117607.60654276154</v>
      </c>
      <c r="N109" s="131">
        <f>Lookups!$E$12*$E$10</f>
        <v>0</v>
      </c>
      <c r="O109" s="33">
        <f t="shared" si="23"/>
        <v>117607.60654276154</v>
      </c>
      <c r="P109" s="33">
        <f>O109/(1-Lookups!$E$13)</f>
        <v>117607.60654276154</v>
      </c>
      <c r="Q109" s="34">
        <f t="shared" si="31"/>
        <v>9800.6338785634616</v>
      </c>
      <c r="R109" s="33">
        <f t="shared" si="24"/>
        <v>2672.9001486991256</v>
      </c>
      <c r="S109" s="34">
        <f t="shared" si="32"/>
        <v>534.58002973982514</v>
      </c>
      <c r="T109" s="36">
        <f t="shared" si="26"/>
        <v>76.368575677117875</v>
      </c>
    </row>
    <row r="110" spans="4:20" x14ac:dyDescent="0.35">
      <c r="D110" s="35" t="s">
        <v>223</v>
      </c>
      <c r="E110" s="31">
        <v>94643.76</v>
      </c>
      <c r="F110" s="32">
        <f t="shared" si="28"/>
        <v>5158.0849199999993</v>
      </c>
      <c r="G110" s="32">
        <f t="shared" si="22"/>
        <v>1274.0506153846154</v>
      </c>
      <c r="H110" s="32">
        <f t="shared" si="27"/>
        <v>946.43759999999997</v>
      </c>
      <c r="I110" s="32">
        <f t="shared" si="27"/>
        <v>2716.2759119999996</v>
      </c>
      <c r="J110" s="32">
        <f t="shared" si="27"/>
        <v>1183.047</v>
      </c>
      <c r="K110" s="32">
        <f t="shared" si="27"/>
        <v>16089.439200000001</v>
      </c>
      <c r="L110" s="32">
        <f t="shared" si="29"/>
        <v>876.87443640000004</v>
      </c>
      <c r="M110" s="32">
        <f t="shared" si="30"/>
        <v>122887.96968378463</v>
      </c>
      <c r="N110" s="131">
        <f>Lookups!$E$12*$E$10</f>
        <v>0</v>
      </c>
      <c r="O110" s="33">
        <f t="shared" si="23"/>
        <v>122887.96968378463</v>
      </c>
      <c r="P110" s="33">
        <f>O110/(1-Lookups!$E$13)</f>
        <v>122887.96968378463</v>
      </c>
      <c r="Q110" s="34">
        <f t="shared" si="31"/>
        <v>10240.664140315386</v>
      </c>
      <c r="R110" s="33">
        <f t="shared" si="24"/>
        <v>2792.9084019041961</v>
      </c>
      <c r="S110" s="34">
        <f t="shared" si="32"/>
        <v>558.5816803808392</v>
      </c>
      <c r="T110" s="36">
        <f t="shared" si="26"/>
        <v>79.797382911548453</v>
      </c>
    </row>
    <row r="111" spans="4:20" x14ac:dyDescent="0.35">
      <c r="D111" s="35" t="s">
        <v>224</v>
      </c>
      <c r="E111" s="31">
        <v>97700.7</v>
      </c>
      <c r="F111" s="32">
        <f t="shared" si="28"/>
        <v>5324.68815</v>
      </c>
      <c r="G111" s="32">
        <f t="shared" si="22"/>
        <v>1315.2017307692306</v>
      </c>
      <c r="H111" s="32">
        <f t="shared" si="27"/>
        <v>977.00699999999995</v>
      </c>
      <c r="I111" s="32">
        <f t="shared" si="27"/>
        <v>2804.0100899999998</v>
      </c>
      <c r="J111" s="32">
        <f t="shared" si="27"/>
        <v>1221.25875</v>
      </c>
      <c r="K111" s="32">
        <f t="shared" si="27"/>
        <v>16609.119000000002</v>
      </c>
      <c r="L111" s="32">
        <f t="shared" si="29"/>
        <v>905.1969855000001</v>
      </c>
      <c r="M111" s="32">
        <f t="shared" si="30"/>
        <v>126857.18170626923</v>
      </c>
      <c r="N111" s="131">
        <f>Lookups!$E$12*$E$10</f>
        <v>0</v>
      </c>
      <c r="O111" s="33">
        <f t="shared" si="23"/>
        <v>126857.18170626923</v>
      </c>
      <c r="P111" s="33">
        <f>O111/(1-Lookups!$E$13)</f>
        <v>126857.18170626923</v>
      </c>
      <c r="Q111" s="34">
        <f t="shared" si="31"/>
        <v>10571.431808855768</v>
      </c>
      <c r="R111" s="33">
        <f t="shared" si="24"/>
        <v>2883.1177660515732</v>
      </c>
      <c r="S111" s="34">
        <f t="shared" si="32"/>
        <v>576.62355321031464</v>
      </c>
      <c r="T111" s="36">
        <f t="shared" si="26"/>
        <v>82.374793315759234</v>
      </c>
    </row>
    <row r="112" spans="4:20" x14ac:dyDescent="0.35">
      <c r="D112" s="35" t="s">
        <v>225</v>
      </c>
      <c r="E112" s="31">
        <v>101766.42</v>
      </c>
      <c r="F112" s="32">
        <f t="shared" si="28"/>
        <v>5546.2698899999996</v>
      </c>
      <c r="G112" s="32">
        <f t="shared" si="22"/>
        <v>1369.9325769230768</v>
      </c>
      <c r="H112" s="32">
        <f t="shared" ref="H112:K131" si="33">$E112*H$16</f>
        <v>1017.6642000000001</v>
      </c>
      <c r="I112" s="32">
        <f t="shared" si="33"/>
        <v>2920.696254</v>
      </c>
      <c r="J112" s="32">
        <f t="shared" si="33"/>
        <v>1272.08025</v>
      </c>
      <c r="K112" s="32">
        <f t="shared" si="33"/>
        <v>17300.291400000002</v>
      </c>
      <c r="L112" s="32">
        <f t="shared" si="29"/>
        <v>942.86588130000007</v>
      </c>
      <c r="M112" s="32">
        <f t="shared" si="30"/>
        <v>132136.22045222309</v>
      </c>
      <c r="N112" s="131">
        <f>Lookups!$E$12*$E$10</f>
        <v>0</v>
      </c>
      <c r="O112" s="33">
        <f t="shared" si="23"/>
        <v>132136.22045222309</v>
      </c>
      <c r="P112" s="33">
        <f>O112/(1-Lookups!$E$13)</f>
        <v>132136.22045222309</v>
      </c>
      <c r="Q112" s="34">
        <f t="shared" si="31"/>
        <v>11011.351704351924</v>
      </c>
      <c r="R112" s="33">
        <f t="shared" si="24"/>
        <v>3003.0959193687067</v>
      </c>
      <c r="S112" s="34">
        <f t="shared" si="32"/>
        <v>600.61918387374135</v>
      </c>
      <c r="T112" s="36">
        <f t="shared" si="26"/>
        <v>85.802740553391615</v>
      </c>
    </row>
    <row r="113" spans="4:20" x14ac:dyDescent="0.35">
      <c r="D113" s="35" t="s">
        <v>226</v>
      </c>
      <c r="E113" s="31">
        <v>77406.78</v>
      </c>
      <c r="F113" s="32">
        <f t="shared" si="28"/>
        <v>4218.6695099999997</v>
      </c>
      <c r="G113" s="32">
        <f t="shared" si="22"/>
        <v>1042.0143461538462</v>
      </c>
      <c r="H113" s="32">
        <f t="shared" si="33"/>
        <v>774.06780000000003</v>
      </c>
      <c r="I113" s="32">
        <f t="shared" si="33"/>
        <v>2221.5745859999997</v>
      </c>
      <c r="J113" s="32">
        <f t="shared" si="33"/>
        <v>967.58474999999999</v>
      </c>
      <c r="K113" s="32">
        <f t="shared" si="33"/>
        <v>13159.152600000001</v>
      </c>
      <c r="L113" s="32">
        <f t="shared" si="29"/>
        <v>717.17381670000009</v>
      </c>
      <c r="M113" s="32">
        <f t="shared" si="30"/>
        <v>100507.01740885385</v>
      </c>
      <c r="N113" s="131">
        <f>Lookups!$E$12*$E$10</f>
        <v>0</v>
      </c>
      <c r="O113" s="33">
        <f t="shared" si="23"/>
        <v>100507.01740885385</v>
      </c>
      <c r="P113" s="33">
        <f>O113/(1-Lookups!$E$13)</f>
        <v>100507.01740885385</v>
      </c>
      <c r="Q113" s="34">
        <f t="shared" si="31"/>
        <v>8375.584784071154</v>
      </c>
      <c r="R113" s="33">
        <f t="shared" si="24"/>
        <v>2284.2503956557694</v>
      </c>
      <c r="S113" s="34">
        <f t="shared" si="32"/>
        <v>456.85007913115385</v>
      </c>
      <c r="T113" s="36">
        <f t="shared" si="26"/>
        <v>65.264297018736258</v>
      </c>
    </row>
    <row r="114" spans="4:20" x14ac:dyDescent="0.35">
      <c r="D114" s="35" t="s">
        <v>227</v>
      </c>
      <c r="E114" s="31">
        <v>79907.820000000007</v>
      </c>
      <c r="F114" s="32">
        <f t="shared" si="28"/>
        <v>4354.9761900000003</v>
      </c>
      <c r="G114" s="32">
        <f t="shared" si="22"/>
        <v>1075.6821923076923</v>
      </c>
      <c r="H114" s="32">
        <f t="shared" si="33"/>
        <v>799.07820000000004</v>
      </c>
      <c r="I114" s="32">
        <f t="shared" si="33"/>
        <v>2293.3544340000003</v>
      </c>
      <c r="J114" s="32">
        <f t="shared" si="33"/>
        <v>998.84775000000013</v>
      </c>
      <c r="K114" s="32">
        <f t="shared" si="33"/>
        <v>13584.329400000002</v>
      </c>
      <c r="L114" s="32">
        <f t="shared" si="29"/>
        <v>740.34595230000014</v>
      </c>
      <c r="M114" s="32">
        <f t="shared" si="30"/>
        <v>103754.43411860771</v>
      </c>
      <c r="N114" s="131">
        <f>Lookups!$E$12*$E$10</f>
        <v>0</v>
      </c>
      <c r="O114" s="33">
        <f t="shared" si="23"/>
        <v>103754.43411860771</v>
      </c>
      <c r="P114" s="33">
        <f>O114/(1-Lookups!$E$13)</f>
        <v>103754.43411860771</v>
      </c>
      <c r="Q114" s="34">
        <f t="shared" si="31"/>
        <v>8646.2028432173083</v>
      </c>
      <c r="R114" s="33">
        <f t="shared" si="24"/>
        <v>2358.0553208774477</v>
      </c>
      <c r="S114" s="34">
        <f t="shared" si="32"/>
        <v>471.61106417548956</v>
      </c>
      <c r="T114" s="36">
        <f t="shared" si="26"/>
        <v>67.37300916792708</v>
      </c>
    </row>
    <row r="115" spans="4:20" x14ac:dyDescent="0.35">
      <c r="D115" s="35" t="s">
        <v>228</v>
      </c>
      <c r="E115" s="31">
        <v>82402.740000000005</v>
      </c>
      <c r="F115" s="32">
        <f t="shared" si="28"/>
        <v>4490.9493300000004</v>
      </c>
      <c r="G115" s="32">
        <f t="shared" si="22"/>
        <v>1109.2676538461537</v>
      </c>
      <c r="H115" s="32">
        <f t="shared" si="33"/>
        <v>824.02740000000006</v>
      </c>
      <c r="I115" s="32">
        <f t="shared" si="33"/>
        <v>2364.9586380000001</v>
      </c>
      <c r="J115" s="32">
        <f t="shared" si="33"/>
        <v>1030.0342500000002</v>
      </c>
      <c r="K115" s="32">
        <f t="shared" si="33"/>
        <v>14008.465800000002</v>
      </c>
      <c r="L115" s="32">
        <f t="shared" si="29"/>
        <v>763.46138610000014</v>
      </c>
      <c r="M115" s="32">
        <f t="shared" si="30"/>
        <v>106993.90445794616</v>
      </c>
      <c r="N115" s="131">
        <f>Lookups!$E$12*$E$10</f>
        <v>0</v>
      </c>
      <c r="O115" s="33">
        <f t="shared" si="23"/>
        <v>106993.90445794616</v>
      </c>
      <c r="P115" s="33">
        <f>O115/(1-Lookups!$E$13)</f>
        <v>106993.90445794616</v>
      </c>
      <c r="Q115" s="34">
        <f t="shared" si="31"/>
        <v>8916.1587048288475</v>
      </c>
      <c r="R115" s="33">
        <f t="shared" si="24"/>
        <v>2431.6796467715035</v>
      </c>
      <c r="S115" s="34">
        <f t="shared" si="32"/>
        <v>486.33592935430073</v>
      </c>
      <c r="T115" s="36">
        <f t="shared" si="26"/>
        <v>69.476561336328672</v>
      </c>
    </row>
    <row r="116" spans="4:20" x14ac:dyDescent="0.35">
      <c r="D116" s="35" t="s">
        <v>229</v>
      </c>
      <c r="E116" s="31">
        <v>84900.72</v>
      </c>
      <c r="F116" s="32">
        <f t="shared" si="28"/>
        <v>4627.0892400000002</v>
      </c>
      <c r="G116" s="32">
        <f t="shared" si="22"/>
        <v>1142.8943076923076</v>
      </c>
      <c r="H116" s="32">
        <f t="shared" si="33"/>
        <v>849.00720000000001</v>
      </c>
      <c r="I116" s="32">
        <f t="shared" si="33"/>
        <v>2436.6506640000002</v>
      </c>
      <c r="J116" s="32">
        <f t="shared" si="33"/>
        <v>1061.259</v>
      </c>
      <c r="K116" s="32">
        <f t="shared" si="33"/>
        <v>14433.122400000002</v>
      </c>
      <c r="L116" s="32">
        <f t="shared" si="29"/>
        <v>786.60517080000011</v>
      </c>
      <c r="M116" s="32">
        <f t="shared" si="30"/>
        <v>110237.34798249231</v>
      </c>
      <c r="N116" s="131">
        <f>Lookups!$E$12*$E$10</f>
        <v>0</v>
      </c>
      <c r="O116" s="33">
        <f t="shared" si="23"/>
        <v>110237.34798249231</v>
      </c>
      <c r="P116" s="33">
        <f>O116/(1-Lookups!$E$13)</f>
        <v>110237.34798249231</v>
      </c>
      <c r="Q116" s="34">
        <f t="shared" si="31"/>
        <v>9186.4456652076933</v>
      </c>
      <c r="R116" s="33">
        <f t="shared" si="24"/>
        <v>2505.3942723293708</v>
      </c>
      <c r="S116" s="34">
        <f t="shared" si="32"/>
        <v>501.07885446587414</v>
      </c>
      <c r="T116" s="36">
        <f t="shared" si="26"/>
        <v>71.582693495124872</v>
      </c>
    </row>
    <row r="117" spans="4:20" x14ac:dyDescent="0.35">
      <c r="D117" s="35" t="s">
        <v>230</v>
      </c>
      <c r="E117" s="31">
        <v>87400.74</v>
      </c>
      <c r="F117" s="32">
        <f t="shared" si="28"/>
        <v>4763.34033</v>
      </c>
      <c r="G117" s="32">
        <f t="shared" si="22"/>
        <v>1176.548423076923</v>
      </c>
      <c r="H117" s="32">
        <f t="shared" si="33"/>
        <v>874.00740000000008</v>
      </c>
      <c r="I117" s="32">
        <f t="shared" si="33"/>
        <v>2508.4012379999999</v>
      </c>
      <c r="J117" s="32">
        <f t="shared" si="33"/>
        <v>1092.5092500000001</v>
      </c>
      <c r="K117" s="32">
        <f t="shared" si="33"/>
        <v>14858.125800000002</v>
      </c>
      <c r="L117" s="32">
        <f t="shared" si="29"/>
        <v>809.76785610000013</v>
      </c>
      <c r="M117" s="32">
        <f t="shared" si="30"/>
        <v>113483.44029717696</v>
      </c>
      <c r="N117" s="131">
        <f>Lookups!$E$12*$E$10</f>
        <v>0</v>
      </c>
      <c r="O117" s="33">
        <f t="shared" si="23"/>
        <v>113483.44029717696</v>
      </c>
      <c r="P117" s="33">
        <f>O117/(1-Lookups!$E$13)</f>
        <v>113483.44029717696</v>
      </c>
      <c r="Q117" s="34">
        <f t="shared" si="31"/>
        <v>9456.9533580980806</v>
      </c>
      <c r="R117" s="33">
        <f t="shared" si="24"/>
        <v>2579.1690976631126</v>
      </c>
      <c r="S117" s="34">
        <f t="shared" si="32"/>
        <v>515.83381953262256</v>
      </c>
      <c r="T117" s="36">
        <f t="shared" si="26"/>
        <v>73.69054564751751</v>
      </c>
    </row>
    <row r="118" spans="4:20" x14ac:dyDescent="0.35">
      <c r="D118" s="35" t="s">
        <v>231</v>
      </c>
      <c r="E118" s="31">
        <v>89796.72</v>
      </c>
      <c r="F118" s="32">
        <f t="shared" si="28"/>
        <v>4893.9212399999997</v>
      </c>
      <c r="G118" s="32">
        <f t="shared" si="22"/>
        <v>1208.8019999999999</v>
      </c>
      <c r="H118" s="32">
        <f t="shared" si="33"/>
        <v>897.96720000000005</v>
      </c>
      <c r="I118" s="32">
        <f t="shared" si="33"/>
        <v>2577.1658640000001</v>
      </c>
      <c r="J118" s="32">
        <f t="shared" si="33"/>
        <v>1122.4590000000001</v>
      </c>
      <c r="K118" s="32">
        <f t="shared" si="33"/>
        <v>15265.442400000002</v>
      </c>
      <c r="L118" s="32">
        <f t="shared" si="29"/>
        <v>831.96661080000013</v>
      </c>
      <c r="M118" s="32">
        <f t="shared" si="30"/>
        <v>116594.44431479998</v>
      </c>
      <c r="N118" s="131">
        <f>Lookups!$E$12*$E$10</f>
        <v>0</v>
      </c>
      <c r="O118" s="33">
        <f t="shared" si="23"/>
        <v>116594.44431479998</v>
      </c>
      <c r="P118" s="33">
        <f>O118/(1-Lookups!$E$13)</f>
        <v>116594.44431479998</v>
      </c>
      <c r="Q118" s="34">
        <f t="shared" si="31"/>
        <v>9716.2036928999987</v>
      </c>
      <c r="R118" s="33">
        <f t="shared" si="24"/>
        <v>2649.8737344272722</v>
      </c>
      <c r="S118" s="34">
        <f t="shared" si="32"/>
        <v>529.97474688545446</v>
      </c>
      <c r="T118" s="36">
        <f t="shared" si="26"/>
        <v>75.710678126493491</v>
      </c>
    </row>
    <row r="119" spans="4:20" x14ac:dyDescent="0.35">
      <c r="D119" s="35" t="s">
        <v>232</v>
      </c>
      <c r="E119" s="31">
        <v>28517.16</v>
      </c>
      <c r="F119" s="32">
        <f t="shared" si="28"/>
        <v>1554.1852200000001</v>
      </c>
      <c r="G119" s="32">
        <f t="shared" si="22"/>
        <v>383.88484615384613</v>
      </c>
      <c r="H119" s="32">
        <f t="shared" si="33"/>
        <v>285.17160000000001</v>
      </c>
      <c r="I119" s="32">
        <f t="shared" si="33"/>
        <v>818.44249200000002</v>
      </c>
      <c r="J119" s="32">
        <f t="shared" si="33"/>
        <v>356.46450000000004</v>
      </c>
      <c r="K119" s="32">
        <f t="shared" si="33"/>
        <v>4847.9172000000008</v>
      </c>
      <c r="L119" s="32">
        <f t="shared" si="29"/>
        <v>264.21148740000007</v>
      </c>
      <c r="M119" s="32">
        <f t="shared" si="30"/>
        <v>37027.437345553852</v>
      </c>
      <c r="N119" s="131">
        <f>Lookups!$E$12*$E$10</f>
        <v>0</v>
      </c>
      <c r="O119" s="33">
        <f t="shared" si="23"/>
        <v>37027.437345553852</v>
      </c>
      <c r="P119" s="33">
        <f>O119/(1-Lookups!$E$13)</f>
        <v>37027.437345553852</v>
      </c>
      <c r="Q119" s="34">
        <f t="shared" si="31"/>
        <v>3085.6197787961542</v>
      </c>
      <c r="R119" s="33">
        <f t="shared" si="24"/>
        <v>841.53266694440572</v>
      </c>
      <c r="S119" s="34">
        <f t="shared" si="32"/>
        <v>168.30653338888115</v>
      </c>
      <c r="T119" s="36">
        <f t="shared" si="26"/>
        <v>24.043790484125878</v>
      </c>
    </row>
    <row r="120" spans="4:20" x14ac:dyDescent="0.35">
      <c r="D120" s="35" t="s">
        <v>233</v>
      </c>
      <c r="E120" s="31">
        <v>37071.9</v>
      </c>
      <c r="F120" s="32">
        <f t="shared" si="28"/>
        <v>2020.4185500000001</v>
      </c>
      <c r="G120" s="32">
        <f t="shared" si="22"/>
        <v>499.04480769230764</v>
      </c>
      <c r="H120" s="32">
        <f t="shared" si="33"/>
        <v>370.71899999999999</v>
      </c>
      <c r="I120" s="32">
        <f t="shared" si="33"/>
        <v>1063.96353</v>
      </c>
      <c r="J120" s="32">
        <f t="shared" si="33"/>
        <v>463.39875000000006</v>
      </c>
      <c r="K120" s="32">
        <f t="shared" si="33"/>
        <v>6302.2230000000009</v>
      </c>
      <c r="L120" s="32">
        <f t="shared" si="29"/>
        <v>343.47115350000007</v>
      </c>
      <c r="M120" s="32">
        <f t="shared" si="30"/>
        <v>48135.138791192308</v>
      </c>
      <c r="N120" s="131">
        <f>Lookups!$E$12*$E$10</f>
        <v>0</v>
      </c>
      <c r="O120" s="33">
        <f t="shared" si="23"/>
        <v>48135.138791192308</v>
      </c>
      <c r="P120" s="33">
        <f>O120/(1-Lookups!$E$13)</f>
        <v>48135.138791192308</v>
      </c>
      <c r="Q120" s="34">
        <f t="shared" si="31"/>
        <v>4011.2615659326925</v>
      </c>
      <c r="R120" s="33">
        <f t="shared" si="24"/>
        <v>1093.9804270725524</v>
      </c>
      <c r="S120" s="34">
        <f t="shared" si="32"/>
        <v>218.79608541451049</v>
      </c>
      <c r="T120" s="36">
        <f t="shared" si="26"/>
        <v>31.256583630644354</v>
      </c>
    </row>
    <row r="121" spans="4:20" x14ac:dyDescent="0.35">
      <c r="D121" s="35" t="s">
        <v>234</v>
      </c>
      <c r="E121" s="31">
        <v>45630.720000000001</v>
      </c>
      <c r="F121" s="32">
        <f t="shared" si="28"/>
        <v>2486.8742400000001</v>
      </c>
      <c r="G121" s="32">
        <f t="shared" si="22"/>
        <v>614.25969230769226</v>
      </c>
      <c r="H121" s="32">
        <f t="shared" si="33"/>
        <v>456.30720000000002</v>
      </c>
      <c r="I121" s="32">
        <f t="shared" si="33"/>
        <v>1309.601664</v>
      </c>
      <c r="J121" s="32">
        <f t="shared" si="33"/>
        <v>570.38400000000001</v>
      </c>
      <c r="K121" s="32">
        <f t="shared" si="33"/>
        <v>7757.2224000000006</v>
      </c>
      <c r="L121" s="32">
        <f t="shared" si="29"/>
        <v>422.76862080000001</v>
      </c>
      <c r="M121" s="32">
        <f t="shared" si="30"/>
        <v>59248.137817107694</v>
      </c>
      <c r="N121" s="131">
        <f>Lookups!$E$12*$E$10</f>
        <v>0</v>
      </c>
      <c r="O121" s="33">
        <f t="shared" si="23"/>
        <v>59248.137817107694</v>
      </c>
      <c r="P121" s="33">
        <f>O121/(1-Lookups!$E$13)</f>
        <v>59248.137817107694</v>
      </c>
      <c r="Q121" s="34">
        <f t="shared" si="31"/>
        <v>4937.3448180923078</v>
      </c>
      <c r="R121" s="33">
        <f t="shared" si="24"/>
        <v>1346.5485867524476</v>
      </c>
      <c r="S121" s="34">
        <f t="shared" si="32"/>
        <v>269.30971735048951</v>
      </c>
      <c r="T121" s="36">
        <f t="shared" si="26"/>
        <v>38.472816764355642</v>
      </c>
    </row>
    <row r="122" spans="4:20" x14ac:dyDescent="0.35">
      <c r="D122" s="35" t="s">
        <v>235</v>
      </c>
      <c r="E122" s="31">
        <v>54186.48</v>
      </c>
      <c r="F122" s="32">
        <f t="shared" si="28"/>
        <v>2953.1631600000001</v>
      </c>
      <c r="G122" s="32">
        <f t="shared" si="22"/>
        <v>729.43338461538463</v>
      </c>
      <c r="H122" s="32">
        <f t="shared" si="33"/>
        <v>541.86480000000006</v>
      </c>
      <c r="I122" s="32">
        <f t="shared" si="33"/>
        <v>1555.1519760000001</v>
      </c>
      <c r="J122" s="32">
        <f t="shared" si="33"/>
        <v>677.33100000000013</v>
      </c>
      <c r="K122" s="32">
        <f t="shared" si="33"/>
        <v>9211.7016000000003</v>
      </c>
      <c r="L122" s="32">
        <f t="shared" si="29"/>
        <v>502.03773720000004</v>
      </c>
      <c r="M122" s="32">
        <f t="shared" si="30"/>
        <v>70357.163657815385</v>
      </c>
      <c r="N122" s="131">
        <f>Lookups!$E$12*$E$10</f>
        <v>0</v>
      </c>
      <c r="O122" s="33">
        <f t="shared" si="23"/>
        <v>70357.163657815385</v>
      </c>
      <c r="P122" s="33">
        <f>O122/(1-Lookups!$E$13)</f>
        <v>70357.163657815385</v>
      </c>
      <c r="Q122" s="34">
        <f t="shared" si="31"/>
        <v>5863.0969714846151</v>
      </c>
      <c r="R122" s="33">
        <f t="shared" si="24"/>
        <v>1599.0264467685315</v>
      </c>
      <c r="S122" s="34">
        <f t="shared" si="32"/>
        <v>319.80528935370631</v>
      </c>
      <c r="T122" s="36">
        <f t="shared" si="26"/>
        <v>45.686469907672333</v>
      </c>
    </row>
    <row r="123" spans="4:20" x14ac:dyDescent="0.35">
      <c r="D123" s="35" t="s">
        <v>236</v>
      </c>
      <c r="E123" s="31">
        <v>47340.24</v>
      </c>
      <c r="F123" s="32">
        <f t="shared" si="28"/>
        <v>2580.0430799999999</v>
      </c>
      <c r="G123" s="32">
        <f t="shared" si="22"/>
        <v>637.27246153846147</v>
      </c>
      <c r="H123" s="32">
        <f t="shared" si="33"/>
        <v>473.4024</v>
      </c>
      <c r="I123" s="32">
        <f t="shared" si="33"/>
        <v>1358.664888</v>
      </c>
      <c r="J123" s="32">
        <f t="shared" si="33"/>
        <v>591.75300000000004</v>
      </c>
      <c r="K123" s="32">
        <f t="shared" si="33"/>
        <v>8047.8407999999999</v>
      </c>
      <c r="L123" s="32">
        <f t="shared" si="29"/>
        <v>438.60732359999997</v>
      </c>
      <c r="M123" s="32">
        <f t="shared" si="30"/>
        <v>61467.823953138461</v>
      </c>
      <c r="N123" s="131">
        <f>Lookups!$E$12*$E$10</f>
        <v>0</v>
      </c>
      <c r="O123" s="33">
        <f t="shared" si="23"/>
        <v>61467.823953138461</v>
      </c>
      <c r="P123" s="33">
        <f>O123/(1-Lookups!$E$13)</f>
        <v>61467.823953138461</v>
      </c>
      <c r="Q123" s="34">
        <f t="shared" si="31"/>
        <v>5122.3186627615387</v>
      </c>
      <c r="R123" s="33">
        <f t="shared" si="24"/>
        <v>1396.995998934965</v>
      </c>
      <c r="S123" s="34">
        <f t="shared" si="32"/>
        <v>279.39919978699299</v>
      </c>
      <c r="T123" s="36">
        <f t="shared" si="26"/>
        <v>39.914171398141853</v>
      </c>
    </row>
    <row r="124" spans="4:20" x14ac:dyDescent="0.35">
      <c r="D124" s="35" t="s">
        <v>237</v>
      </c>
      <c r="E124" s="31">
        <v>50192.160000000003</v>
      </c>
      <c r="F124" s="32">
        <f t="shared" si="28"/>
        <v>2735.4727200000002</v>
      </c>
      <c r="G124" s="32">
        <f t="shared" si="22"/>
        <v>675.66369230769237</v>
      </c>
      <c r="H124" s="32">
        <f t="shared" si="33"/>
        <v>501.92160000000007</v>
      </c>
      <c r="I124" s="32">
        <f t="shared" si="33"/>
        <v>1440.5149920000001</v>
      </c>
      <c r="J124" s="32">
        <f t="shared" si="33"/>
        <v>627.40200000000004</v>
      </c>
      <c r="K124" s="32">
        <f t="shared" si="33"/>
        <v>8532.6672000000017</v>
      </c>
      <c r="L124" s="32">
        <f t="shared" si="29"/>
        <v>465.03036240000012</v>
      </c>
      <c r="M124" s="32">
        <f t="shared" si="30"/>
        <v>65170.832566707701</v>
      </c>
      <c r="N124" s="131">
        <f>Lookups!$E$12*$E$10</f>
        <v>0</v>
      </c>
      <c r="O124" s="33">
        <f t="shared" si="23"/>
        <v>65170.832566707701</v>
      </c>
      <c r="P124" s="33">
        <f>O124/(1-Lookups!$E$13)</f>
        <v>65170.832566707701</v>
      </c>
      <c r="Q124" s="34">
        <f t="shared" si="31"/>
        <v>5430.9027138923084</v>
      </c>
      <c r="R124" s="33">
        <f t="shared" si="24"/>
        <v>1481.1552856069932</v>
      </c>
      <c r="S124" s="34">
        <f t="shared" si="32"/>
        <v>296.23105712139863</v>
      </c>
      <c r="T124" s="36">
        <f t="shared" si="26"/>
        <v>42.318722445914091</v>
      </c>
    </row>
    <row r="125" spans="4:20" x14ac:dyDescent="0.35">
      <c r="D125" s="35" t="s">
        <v>238</v>
      </c>
      <c r="E125" s="31">
        <v>53043.06</v>
      </c>
      <c r="F125" s="32">
        <f t="shared" si="28"/>
        <v>2890.8467699999997</v>
      </c>
      <c r="G125" s="32">
        <f t="shared" si="22"/>
        <v>714.0411923076922</v>
      </c>
      <c r="H125" s="32">
        <f t="shared" si="33"/>
        <v>530.43060000000003</v>
      </c>
      <c r="I125" s="32">
        <f t="shared" si="33"/>
        <v>1522.335822</v>
      </c>
      <c r="J125" s="32">
        <f t="shared" si="33"/>
        <v>663.03825000000006</v>
      </c>
      <c r="K125" s="32">
        <f t="shared" si="33"/>
        <v>9017.3202000000001</v>
      </c>
      <c r="L125" s="32">
        <f t="shared" si="29"/>
        <v>491.4439509</v>
      </c>
      <c r="M125" s="32">
        <f t="shared" si="30"/>
        <v>68872.51678520767</v>
      </c>
      <c r="N125" s="131">
        <f>Lookups!$E$12*$E$10</f>
        <v>0</v>
      </c>
      <c r="O125" s="33">
        <f t="shared" si="23"/>
        <v>68872.51678520767</v>
      </c>
      <c r="P125" s="33">
        <f>O125/(1-Lookups!$E$13)</f>
        <v>68872.51678520767</v>
      </c>
      <c r="Q125" s="34">
        <f t="shared" si="31"/>
        <v>5739.3763987673055</v>
      </c>
      <c r="R125" s="33">
        <f t="shared" si="24"/>
        <v>1565.2844723910835</v>
      </c>
      <c r="S125" s="34">
        <f t="shared" si="32"/>
        <v>313.05689447821669</v>
      </c>
      <c r="T125" s="36">
        <f t="shared" si="26"/>
        <v>44.722413496888102</v>
      </c>
    </row>
    <row r="126" spans="4:20" x14ac:dyDescent="0.35">
      <c r="D126" s="35" t="s">
        <v>239</v>
      </c>
      <c r="E126" s="31">
        <v>55896</v>
      </c>
      <c r="F126" s="32">
        <f t="shared" si="28"/>
        <v>3046.3319999999999</v>
      </c>
      <c r="G126" s="32">
        <f t="shared" si="22"/>
        <v>752.44615384615383</v>
      </c>
      <c r="H126" s="32">
        <f t="shared" si="33"/>
        <v>558.96</v>
      </c>
      <c r="I126" s="32">
        <f t="shared" si="33"/>
        <v>1604.2152000000001</v>
      </c>
      <c r="J126" s="32">
        <f t="shared" si="33"/>
        <v>698.7</v>
      </c>
      <c r="K126" s="32">
        <f t="shared" si="33"/>
        <v>9502.3200000000015</v>
      </c>
      <c r="L126" s="32">
        <f t="shared" si="29"/>
        <v>517.87644000000012</v>
      </c>
      <c r="M126" s="32">
        <f t="shared" si="30"/>
        <v>72576.849793846166</v>
      </c>
      <c r="N126" s="131">
        <f>Lookups!$E$12*$E$10</f>
        <v>0</v>
      </c>
      <c r="O126" s="33">
        <f t="shared" si="23"/>
        <v>72576.849793846166</v>
      </c>
      <c r="P126" s="33">
        <f>O126/(1-Lookups!$E$13)</f>
        <v>72576.849793846166</v>
      </c>
      <c r="Q126" s="34">
        <f t="shared" si="31"/>
        <v>6048.0708161538469</v>
      </c>
      <c r="R126" s="33">
        <f t="shared" si="24"/>
        <v>1649.4738589510494</v>
      </c>
      <c r="S126" s="34">
        <f t="shared" si="32"/>
        <v>329.89477179020986</v>
      </c>
      <c r="T126" s="36">
        <f t="shared" si="26"/>
        <v>47.127824541458551</v>
      </c>
    </row>
    <row r="127" spans="4:20" x14ac:dyDescent="0.35">
      <c r="D127" s="35" t="s">
        <v>240</v>
      </c>
      <c r="E127" s="31">
        <v>156166.59897094491</v>
      </c>
      <c r="F127" s="32">
        <f t="shared" si="28"/>
        <v>8511.0796439164969</v>
      </c>
      <c r="G127" s="32">
        <f t="shared" si="22"/>
        <v>2102.2426784550275</v>
      </c>
      <c r="H127" s="32">
        <f t="shared" si="33"/>
        <v>1561.6659897094491</v>
      </c>
      <c r="I127" s="32">
        <f t="shared" si="33"/>
        <v>4481.9813904661187</v>
      </c>
      <c r="J127" s="32">
        <f t="shared" si="33"/>
        <v>1952.0824871368113</v>
      </c>
      <c r="K127" s="32">
        <f t="shared" si="33"/>
        <v>26548.321825060637</v>
      </c>
      <c r="L127" s="32">
        <f t="shared" si="29"/>
        <v>1446.8835394658047</v>
      </c>
      <c r="M127" s="32">
        <f t="shared" si="30"/>
        <v>202770.85652515525</v>
      </c>
      <c r="N127" s="131">
        <f>Lookups!$E$12*$E$10</f>
        <v>0</v>
      </c>
      <c r="O127" s="33">
        <f t="shared" si="23"/>
        <v>202770.85652515525</v>
      </c>
      <c r="P127" s="33">
        <f>O127/(1-Lookups!$E$13)</f>
        <v>202770.85652515525</v>
      </c>
      <c r="Q127" s="34">
        <f t="shared" si="31"/>
        <v>16897.571377096272</v>
      </c>
      <c r="R127" s="33">
        <f t="shared" si="24"/>
        <v>4608.4285573898924</v>
      </c>
      <c r="S127" s="34">
        <f t="shared" si="32"/>
        <v>921.68571147797843</v>
      </c>
      <c r="T127" s="36">
        <f t="shared" si="26"/>
        <v>131.66938735399691</v>
      </c>
    </row>
    <row r="128" spans="4:20" x14ac:dyDescent="0.35">
      <c r="D128" s="35" t="s">
        <v>241</v>
      </c>
      <c r="E128" s="31">
        <v>183322.90110239503</v>
      </c>
      <c r="F128" s="32">
        <f t="shared" si="28"/>
        <v>9991.0981100805293</v>
      </c>
      <c r="G128" s="32">
        <f t="shared" si="22"/>
        <v>2467.808284070702</v>
      </c>
      <c r="H128" s="32">
        <f t="shared" si="33"/>
        <v>1833.2290110239503</v>
      </c>
      <c r="I128" s="32">
        <f t="shared" si="33"/>
        <v>5261.3672616387375</v>
      </c>
      <c r="J128" s="32">
        <f t="shared" si="33"/>
        <v>2291.5362637799381</v>
      </c>
      <c r="K128" s="32">
        <f t="shared" si="33"/>
        <v>31164.893187407157</v>
      </c>
      <c r="L128" s="32">
        <f t="shared" si="29"/>
        <v>1698.48667871369</v>
      </c>
      <c r="M128" s="32">
        <f t="shared" si="30"/>
        <v>238031.31989910972</v>
      </c>
      <c r="N128" s="131">
        <f>Lookups!$E$12*$E$10</f>
        <v>0</v>
      </c>
      <c r="O128" s="33">
        <f t="shared" si="23"/>
        <v>238031.31989910972</v>
      </c>
      <c r="P128" s="33">
        <f>O128/(1-Lookups!$E$13)</f>
        <v>238031.31989910972</v>
      </c>
      <c r="Q128" s="34">
        <f t="shared" si="31"/>
        <v>19835.943324925811</v>
      </c>
      <c r="R128" s="33">
        <f t="shared" si="24"/>
        <v>5409.8027249797669</v>
      </c>
      <c r="S128" s="34">
        <f t="shared" si="32"/>
        <v>1081.9605449959533</v>
      </c>
      <c r="T128" s="36">
        <f t="shared" si="26"/>
        <v>154.56579214227904</v>
      </c>
    </row>
    <row r="129" spans="4:20" x14ac:dyDescent="0.35">
      <c r="D129" s="35" t="s">
        <v>242</v>
      </c>
      <c r="E129" s="31">
        <v>129004.88419855337</v>
      </c>
      <c r="F129" s="32">
        <f t="shared" si="28"/>
        <v>7030.7661888211587</v>
      </c>
      <c r="G129" s="32">
        <f t="shared" si="22"/>
        <v>1736.6042103651414</v>
      </c>
      <c r="H129" s="32">
        <f t="shared" si="33"/>
        <v>1290.0488419855337</v>
      </c>
      <c r="I129" s="32">
        <f t="shared" si="33"/>
        <v>3702.4401764984814</v>
      </c>
      <c r="J129" s="32">
        <f t="shared" si="33"/>
        <v>1612.5610524819172</v>
      </c>
      <c r="K129" s="32">
        <f t="shared" si="33"/>
        <v>21930.830313754075</v>
      </c>
      <c r="L129" s="32">
        <f t="shared" si="29"/>
        <v>1195.230252099597</v>
      </c>
      <c r="M129" s="32">
        <f t="shared" si="30"/>
        <v>167503.36523455923</v>
      </c>
      <c r="N129" s="131">
        <f>Lookups!$E$12*$E$10</f>
        <v>0</v>
      </c>
      <c r="O129" s="33">
        <f t="shared" si="23"/>
        <v>167503.36523455923</v>
      </c>
      <c r="P129" s="33">
        <f>O129/(1-Lookups!$E$13)</f>
        <v>167503.36523455923</v>
      </c>
      <c r="Q129" s="34">
        <f t="shared" si="31"/>
        <v>13958.613769546602</v>
      </c>
      <c r="R129" s="33">
        <f t="shared" si="24"/>
        <v>3806.8946644218004</v>
      </c>
      <c r="S129" s="34">
        <f t="shared" si="32"/>
        <v>761.3789328843601</v>
      </c>
      <c r="T129" s="36">
        <f t="shared" si="26"/>
        <v>108.76841898348002</v>
      </c>
    </row>
    <row r="130" spans="4:20" x14ac:dyDescent="0.35">
      <c r="D130" s="35" t="s">
        <v>243</v>
      </c>
      <c r="E130" s="31">
        <v>85246.929771483425</v>
      </c>
      <c r="F130" s="32">
        <f t="shared" si="28"/>
        <v>4645.9576725458464</v>
      </c>
      <c r="G130" s="32">
        <f t="shared" si="22"/>
        <v>1147.5548238468923</v>
      </c>
      <c r="H130" s="32">
        <f t="shared" si="33"/>
        <v>852.46929771483428</v>
      </c>
      <c r="I130" s="32">
        <f t="shared" si="33"/>
        <v>2446.5868844415741</v>
      </c>
      <c r="J130" s="32">
        <f t="shared" si="33"/>
        <v>1065.5866221435429</v>
      </c>
      <c r="K130" s="32">
        <f t="shared" si="33"/>
        <v>14491.978061152184</v>
      </c>
      <c r="L130" s="32">
        <f t="shared" si="29"/>
        <v>789.81280433279403</v>
      </c>
      <c r="M130" s="32">
        <f t="shared" si="30"/>
        <v>110686.87593766108</v>
      </c>
      <c r="N130" s="131">
        <f>Lookups!$E$12*$E$10</f>
        <v>0</v>
      </c>
      <c r="O130" s="33">
        <f t="shared" si="23"/>
        <v>110686.87593766108</v>
      </c>
      <c r="P130" s="33">
        <f>O130/(1-Lookups!$E$13)</f>
        <v>110686.87593766108</v>
      </c>
      <c r="Q130" s="34">
        <f t="shared" si="31"/>
        <v>9223.9063281384242</v>
      </c>
      <c r="R130" s="33">
        <f t="shared" si="24"/>
        <v>2515.6108167650245</v>
      </c>
      <c r="S130" s="34">
        <f t="shared" si="32"/>
        <v>503.12216335300491</v>
      </c>
      <c r="T130" s="36">
        <f t="shared" si="26"/>
        <v>71.874594764714985</v>
      </c>
    </row>
    <row r="131" spans="4:20" x14ac:dyDescent="0.35">
      <c r="D131" s="35" t="s">
        <v>244</v>
      </c>
      <c r="E131" s="31">
        <v>85299.973652709654</v>
      </c>
      <c r="F131" s="32">
        <f t="shared" si="28"/>
        <v>4648.8485640726758</v>
      </c>
      <c r="G131" s="32">
        <f t="shared" si="22"/>
        <v>1148.2688760941683</v>
      </c>
      <c r="H131" s="32">
        <f t="shared" si="33"/>
        <v>852.9997365270965</v>
      </c>
      <c r="I131" s="32">
        <f t="shared" si="33"/>
        <v>2448.1092438327669</v>
      </c>
      <c r="J131" s="32">
        <f t="shared" si="33"/>
        <v>1066.2496706588706</v>
      </c>
      <c r="K131" s="32">
        <f t="shared" si="33"/>
        <v>14500.995520960641</v>
      </c>
      <c r="L131" s="32">
        <f t="shared" si="29"/>
        <v>790.30425589235494</v>
      </c>
      <c r="M131" s="32">
        <f t="shared" si="30"/>
        <v>110755.74952074821</v>
      </c>
      <c r="N131" s="131">
        <f>Lookups!$E$12*$E$10</f>
        <v>0</v>
      </c>
      <c r="O131" s="33">
        <f t="shared" si="23"/>
        <v>110755.74952074821</v>
      </c>
      <c r="P131" s="33">
        <f>O131/(1-Lookups!$E$13)</f>
        <v>110755.74952074821</v>
      </c>
      <c r="Q131" s="34">
        <f t="shared" si="31"/>
        <v>9229.6457933956844</v>
      </c>
      <c r="R131" s="33">
        <f t="shared" si="24"/>
        <v>2517.1761254715502</v>
      </c>
      <c r="S131" s="34">
        <f t="shared" si="32"/>
        <v>503.43522509431006</v>
      </c>
      <c r="T131" s="36">
        <f t="shared" si="26"/>
        <v>71.919317870615728</v>
      </c>
    </row>
    <row r="132" spans="4:20" x14ac:dyDescent="0.35">
      <c r="D132" s="35" t="s">
        <v>245</v>
      </c>
      <c r="E132" s="31">
        <v>130377.52994130543</v>
      </c>
      <c r="F132" s="32">
        <f t="shared" si="28"/>
        <v>7105.5753818011462</v>
      </c>
      <c r="G132" s="32">
        <f t="shared" si="22"/>
        <v>1755.0821338252654</v>
      </c>
      <c r="H132" s="32">
        <f t="shared" ref="H132:K164" si="34">$E132*H$16</f>
        <v>1303.7752994130544</v>
      </c>
      <c r="I132" s="32">
        <f t="shared" si="34"/>
        <v>3741.8351093154656</v>
      </c>
      <c r="J132" s="32">
        <f t="shared" si="34"/>
        <v>1629.719124266318</v>
      </c>
      <c r="K132" s="32">
        <f t="shared" si="34"/>
        <v>22164.180090021924</v>
      </c>
      <c r="L132" s="32">
        <f t="shared" si="29"/>
        <v>1207.9478149061949</v>
      </c>
      <c r="M132" s="32">
        <f t="shared" si="30"/>
        <v>169285.64489485478</v>
      </c>
      <c r="N132" s="131">
        <f>Lookups!$E$12*$E$10</f>
        <v>0</v>
      </c>
      <c r="O132" s="33">
        <f t="shared" si="23"/>
        <v>169285.64489485478</v>
      </c>
      <c r="P132" s="33">
        <f>O132/(1-Lookups!$E$13)</f>
        <v>169285.64489485478</v>
      </c>
      <c r="Q132" s="34">
        <f t="shared" si="31"/>
        <v>14107.137074571232</v>
      </c>
      <c r="R132" s="33">
        <f t="shared" si="24"/>
        <v>3847.4010203376088</v>
      </c>
      <c r="S132" s="34">
        <f t="shared" si="32"/>
        <v>769.48020406752175</v>
      </c>
      <c r="T132" s="36">
        <f t="shared" si="26"/>
        <v>109.9257434382174</v>
      </c>
    </row>
    <row r="133" spans="4:20" x14ac:dyDescent="0.35">
      <c r="D133" s="35" t="s">
        <v>246</v>
      </c>
      <c r="E133" s="31">
        <v>24853.764674956674</v>
      </c>
      <c r="F133" s="32">
        <f t="shared" si="28"/>
        <v>1354.5301747851388</v>
      </c>
      <c r="G133" s="32">
        <f t="shared" si="22"/>
        <v>334.5699090859552</v>
      </c>
      <c r="H133" s="32">
        <f t="shared" si="34"/>
        <v>248.53764674956673</v>
      </c>
      <c r="I133" s="32">
        <f t="shared" si="34"/>
        <v>713.30304617125648</v>
      </c>
      <c r="J133" s="32">
        <f t="shared" si="34"/>
        <v>310.67205843695842</v>
      </c>
      <c r="K133" s="32">
        <f t="shared" si="34"/>
        <v>4225.1399947426353</v>
      </c>
      <c r="L133" s="32">
        <f t="shared" si="29"/>
        <v>230.27012971347361</v>
      </c>
      <c r="M133" s="32">
        <f t="shared" si="30"/>
        <v>32270.787634641656</v>
      </c>
      <c r="N133" s="131">
        <f>Lookups!$E$12*$E$10</f>
        <v>0</v>
      </c>
      <c r="O133" s="33">
        <f t="shared" si="23"/>
        <v>32270.787634641656</v>
      </c>
      <c r="P133" s="33">
        <f>O133/(1-Lookups!$E$13)</f>
        <v>32270.787634641656</v>
      </c>
      <c r="Q133" s="34">
        <f>$P133/Q$16</f>
        <v>2689.2323028868045</v>
      </c>
      <c r="R133" s="33">
        <f>S133*R$16</f>
        <v>733.42699169640127</v>
      </c>
      <c r="S133" s="34">
        <f>$P133/S$16</f>
        <v>146.68539833928025</v>
      </c>
      <c r="T133" s="36">
        <f>S133/T$16</f>
        <v>20.955056905611464</v>
      </c>
    </row>
    <row r="134" spans="4:20" x14ac:dyDescent="0.35">
      <c r="D134" s="35" t="s">
        <v>247</v>
      </c>
      <c r="E134" s="133">
        <v>0</v>
      </c>
      <c r="F134" s="134">
        <f t="shared" si="28"/>
        <v>0</v>
      </c>
      <c r="G134" s="134">
        <f t="shared" si="22"/>
        <v>0</v>
      </c>
      <c r="H134" s="134">
        <f t="shared" si="34"/>
        <v>0</v>
      </c>
      <c r="I134" s="134">
        <f t="shared" si="34"/>
        <v>0</v>
      </c>
      <c r="J134" s="134">
        <f t="shared" si="34"/>
        <v>0</v>
      </c>
      <c r="K134" s="134">
        <f t="shared" si="34"/>
        <v>0</v>
      </c>
      <c r="L134" s="134">
        <f t="shared" si="29"/>
        <v>0</v>
      </c>
      <c r="M134" s="134">
        <f t="shared" ref="M134:M147" si="35">SUM(E134:L134)</f>
        <v>0</v>
      </c>
      <c r="N134" s="86">
        <f>Lookups!$E$12*$E$10</f>
        <v>0</v>
      </c>
      <c r="O134" s="135">
        <f t="shared" ref="O134:O147" si="36">$M134*(1+N134)</f>
        <v>0</v>
      </c>
      <c r="P134" s="135">
        <f>O134/(1-Lookups!$E$13)</f>
        <v>0</v>
      </c>
      <c r="Q134" s="136">
        <f t="shared" si="31"/>
        <v>0</v>
      </c>
      <c r="R134" s="135">
        <f t="shared" ref="R134:R147" si="37">S134*R$16</f>
        <v>0</v>
      </c>
      <c r="S134" s="136">
        <f t="shared" si="32"/>
        <v>0</v>
      </c>
      <c r="T134" s="36">
        <v>389.85156302868012</v>
      </c>
    </row>
    <row r="135" spans="4:20" x14ac:dyDescent="0.35">
      <c r="D135" s="35" t="s">
        <v>248</v>
      </c>
      <c r="E135" s="133">
        <v>0</v>
      </c>
      <c r="F135" s="134">
        <f t="shared" si="28"/>
        <v>0</v>
      </c>
      <c r="G135" s="134">
        <f t="shared" si="22"/>
        <v>0</v>
      </c>
      <c r="H135" s="134">
        <f t="shared" si="34"/>
        <v>0</v>
      </c>
      <c r="I135" s="134">
        <f t="shared" si="34"/>
        <v>0</v>
      </c>
      <c r="J135" s="134">
        <f t="shared" si="34"/>
        <v>0</v>
      </c>
      <c r="K135" s="134">
        <f t="shared" si="34"/>
        <v>0</v>
      </c>
      <c r="L135" s="134">
        <f t="shared" si="29"/>
        <v>0</v>
      </c>
      <c r="M135" s="134">
        <f t="shared" si="35"/>
        <v>0</v>
      </c>
      <c r="N135" s="86">
        <f>Lookups!$E$12*$E$10</f>
        <v>0</v>
      </c>
      <c r="O135" s="135">
        <f t="shared" si="36"/>
        <v>0</v>
      </c>
      <c r="P135" s="135">
        <f>O135/(1-Lookups!$E$13)</f>
        <v>0</v>
      </c>
      <c r="Q135" s="136">
        <f t="shared" si="31"/>
        <v>0</v>
      </c>
      <c r="R135" s="135">
        <f t="shared" si="37"/>
        <v>0</v>
      </c>
      <c r="S135" s="136">
        <f t="shared" si="32"/>
        <v>0</v>
      </c>
      <c r="T135" s="36">
        <v>311.86895420584801</v>
      </c>
    </row>
    <row r="136" spans="4:20" x14ac:dyDescent="0.35">
      <c r="D136" s="35" t="s">
        <v>249</v>
      </c>
      <c r="E136" s="133">
        <v>0</v>
      </c>
      <c r="F136" s="134">
        <f t="shared" si="28"/>
        <v>0</v>
      </c>
      <c r="G136" s="134">
        <f t="shared" si="22"/>
        <v>0</v>
      </c>
      <c r="H136" s="134">
        <f t="shared" si="34"/>
        <v>0</v>
      </c>
      <c r="I136" s="134">
        <f t="shared" si="34"/>
        <v>0</v>
      </c>
      <c r="J136" s="134">
        <f t="shared" si="34"/>
        <v>0</v>
      </c>
      <c r="K136" s="134">
        <f t="shared" si="34"/>
        <v>0</v>
      </c>
      <c r="L136" s="134">
        <f t="shared" si="29"/>
        <v>0</v>
      </c>
      <c r="M136" s="134">
        <f t="shared" si="35"/>
        <v>0</v>
      </c>
      <c r="N136" s="86">
        <f>Lookups!$E$12*$E$10</f>
        <v>0</v>
      </c>
      <c r="O136" s="135">
        <f t="shared" si="36"/>
        <v>0</v>
      </c>
      <c r="P136" s="135">
        <f>O136/(1-Lookups!$E$13)</f>
        <v>0</v>
      </c>
      <c r="Q136" s="136">
        <f t="shared" si="31"/>
        <v>0</v>
      </c>
      <c r="R136" s="135">
        <f t="shared" si="37"/>
        <v>0</v>
      </c>
      <c r="S136" s="136">
        <f t="shared" si="32"/>
        <v>0</v>
      </c>
      <c r="T136" s="36">
        <v>233.91093781720801</v>
      </c>
    </row>
    <row r="137" spans="4:20" x14ac:dyDescent="0.35">
      <c r="D137" s="35" t="s">
        <v>250</v>
      </c>
      <c r="E137" s="133">
        <v>0</v>
      </c>
      <c r="F137" s="134">
        <f t="shared" si="28"/>
        <v>0</v>
      </c>
      <c r="G137" s="134">
        <f t="shared" si="22"/>
        <v>0</v>
      </c>
      <c r="H137" s="134">
        <f t="shared" si="34"/>
        <v>0</v>
      </c>
      <c r="I137" s="134">
        <f t="shared" si="34"/>
        <v>0</v>
      </c>
      <c r="J137" s="134">
        <f t="shared" si="34"/>
        <v>0</v>
      </c>
      <c r="K137" s="134">
        <f t="shared" si="34"/>
        <v>0</v>
      </c>
      <c r="L137" s="134">
        <f t="shared" si="29"/>
        <v>0</v>
      </c>
      <c r="M137" s="134">
        <f t="shared" si="35"/>
        <v>0</v>
      </c>
      <c r="N137" s="86">
        <f>Lookups!$E$12*$E$10</f>
        <v>0</v>
      </c>
      <c r="O137" s="135">
        <f t="shared" si="36"/>
        <v>0</v>
      </c>
      <c r="P137" s="135">
        <f>O137/(1-Lookups!$E$13)</f>
        <v>0</v>
      </c>
      <c r="Q137" s="136">
        <f t="shared" si="31"/>
        <v>0</v>
      </c>
      <c r="R137" s="135">
        <f t="shared" si="37"/>
        <v>0</v>
      </c>
      <c r="S137" s="136">
        <f t="shared" si="32"/>
        <v>0</v>
      </c>
      <c r="T137" s="36">
        <v>155.95292142856803</v>
      </c>
    </row>
    <row r="138" spans="4:20" x14ac:dyDescent="0.35">
      <c r="D138" s="35" t="s">
        <v>251</v>
      </c>
      <c r="E138" s="133">
        <v>0</v>
      </c>
      <c r="F138" s="134">
        <f t="shared" si="28"/>
        <v>0</v>
      </c>
      <c r="G138" s="134">
        <f t="shared" si="22"/>
        <v>0</v>
      </c>
      <c r="H138" s="134">
        <f t="shared" si="34"/>
        <v>0</v>
      </c>
      <c r="I138" s="134">
        <f t="shared" si="34"/>
        <v>0</v>
      </c>
      <c r="J138" s="134">
        <f t="shared" si="34"/>
        <v>0</v>
      </c>
      <c r="K138" s="134">
        <f t="shared" si="34"/>
        <v>0</v>
      </c>
      <c r="L138" s="134">
        <f t="shared" si="29"/>
        <v>0</v>
      </c>
      <c r="M138" s="134">
        <f t="shared" si="35"/>
        <v>0</v>
      </c>
      <c r="N138" s="86">
        <f>Lookups!$E$12*$E$10</f>
        <v>0</v>
      </c>
      <c r="O138" s="135">
        <f t="shared" si="36"/>
        <v>0</v>
      </c>
      <c r="P138" s="135">
        <f>O138/(1-Lookups!$E$13)</f>
        <v>0</v>
      </c>
      <c r="Q138" s="136">
        <f t="shared" si="31"/>
        <v>0</v>
      </c>
      <c r="R138" s="135">
        <f t="shared" si="37"/>
        <v>0</v>
      </c>
      <c r="S138" s="136">
        <f t="shared" si="32"/>
        <v>0</v>
      </c>
      <c r="T138" s="36">
        <v>77.994905039928014</v>
      </c>
    </row>
    <row r="139" spans="4:20" x14ac:dyDescent="0.35">
      <c r="D139" s="35" t="s">
        <v>252</v>
      </c>
      <c r="E139" s="133">
        <v>0</v>
      </c>
      <c r="F139" s="134">
        <f t="shared" si="28"/>
        <v>0</v>
      </c>
      <c r="G139" s="134">
        <f t="shared" si="22"/>
        <v>0</v>
      </c>
      <c r="H139" s="134">
        <f t="shared" si="34"/>
        <v>0</v>
      </c>
      <c r="I139" s="134">
        <f t="shared" si="34"/>
        <v>0</v>
      </c>
      <c r="J139" s="134">
        <f t="shared" si="34"/>
        <v>0</v>
      </c>
      <c r="K139" s="134">
        <f t="shared" si="34"/>
        <v>0</v>
      </c>
      <c r="L139" s="134">
        <f t="shared" si="29"/>
        <v>0</v>
      </c>
      <c r="M139" s="134">
        <f t="shared" si="35"/>
        <v>0</v>
      </c>
      <c r="N139" s="86">
        <f>Lookups!$E$12*$E$10</f>
        <v>0</v>
      </c>
      <c r="O139" s="135">
        <f t="shared" si="36"/>
        <v>0</v>
      </c>
      <c r="P139" s="135">
        <f>O139/(1-Lookups!$E$13)</f>
        <v>0</v>
      </c>
      <c r="Q139" s="136">
        <f t="shared" si="31"/>
        <v>0</v>
      </c>
      <c r="R139" s="135">
        <f t="shared" si="37"/>
        <v>0</v>
      </c>
      <c r="S139" s="136">
        <f t="shared" si="32"/>
        <v>0</v>
      </c>
      <c r="T139" s="36">
        <v>66.510238272264019</v>
      </c>
    </row>
    <row r="140" spans="4:20" x14ac:dyDescent="0.35">
      <c r="D140" s="35" t="s">
        <v>253</v>
      </c>
      <c r="E140" s="133">
        <v>0</v>
      </c>
      <c r="F140" s="134">
        <f t="shared" si="28"/>
        <v>0</v>
      </c>
      <c r="G140" s="134">
        <f t="shared" si="22"/>
        <v>0</v>
      </c>
      <c r="H140" s="134">
        <f t="shared" si="34"/>
        <v>0</v>
      </c>
      <c r="I140" s="134">
        <f t="shared" si="34"/>
        <v>0</v>
      </c>
      <c r="J140" s="134">
        <f t="shared" si="34"/>
        <v>0</v>
      </c>
      <c r="K140" s="134">
        <f t="shared" si="34"/>
        <v>0</v>
      </c>
      <c r="L140" s="134">
        <f t="shared" si="29"/>
        <v>0</v>
      </c>
      <c r="M140" s="134">
        <f t="shared" si="35"/>
        <v>0</v>
      </c>
      <c r="N140" s="86">
        <f>Lookups!$E$12*$E$10</f>
        <v>0</v>
      </c>
      <c r="O140" s="135">
        <f t="shared" si="36"/>
        <v>0</v>
      </c>
      <c r="P140" s="135">
        <f>O140/(1-Lookups!$E$13)</f>
        <v>0</v>
      </c>
      <c r="Q140" s="136">
        <f t="shared" si="31"/>
        <v>0</v>
      </c>
      <c r="R140" s="135">
        <f t="shared" si="37"/>
        <v>0</v>
      </c>
      <c r="S140" s="136">
        <f t="shared" si="32"/>
        <v>0</v>
      </c>
      <c r="T140" s="36">
        <v>55.615789925207999</v>
      </c>
    </row>
    <row r="141" spans="4:20" x14ac:dyDescent="0.35">
      <c r="D141" s="35" t="s">
        <v>254</v>
      </c>
      <c r="E141" s="133">
        <v>0</v>
      </c>
      <c r="F141" s="134">
        <f t="shared" si="28"/>
        <v>0</v>
      </c>
      <c r="G141" s="134">
        <f t="shared" si="22"/>
        <v>0</v>
      </c>
      <c r="H141" s="134">
        <f t="shared" si="34"/>
        <v>0</v>
      </c>
      <c r="I141" s="134">
        <f t="shared" si="34"/>
        <v>0</v>
      </c>
      <c r="J141" s="134">
        <f t="shared" si="34"/>
        <v>0</v>
      </c>
      <c r="K141" s="134">
        <f t="shared" si="34"/>
        <v>0</v>
      </c>
      <c r="L141" s="134">
        <f t="shared" si="29"/>
        <v>0</v>
      </c>
      <c r="M141" s="134">
        <f t="shared" si="35"/>
        <v>0</v>
      </c>
      <c r="N141" s="86">
        <f>Lookups!$E$12*$E$10</f>
        <v>0</v>
      </c>
      <c r="O141" s="135">
        <f t="shared" si="36"/>
        <v>0</v>
      </c>
      <c r="P141" s="135">
        <f>O141/(1-Lookups!$E$13)</f>
        <v>0</v>
      </c>
      <c r="Q141" s="136">
        <f t="shared" si="31"/>
        <v>0</v>
      </c>
      <c r="R141" s="135">
        <f t="shared" si="37"/>
        <v>0</v>
      </c>
      <c r="S141" s="136">
        <f t="shared" si="32"/>
        <v>0</v>
      </c>
      <c r="T141" s="36">
        <v>83.454425430552007</v>
      </c>
    </row>
    <row r="142" spans="4:20" x14ac:dyDescent="0.35">
      <c r="D142" s="35" t="s">
        <v>255</v>
      </c>
      <c r="E142" s="133">
        <v>0</v>
      </c>
      <c r="F142" s="134">
        <f t="shared" si="28"/>
        <v>0</v>
      </c>
      <c r="G142" s="134">
        <f t="shared" si="22"/>
        <v>0</v>
      </c>
      <c r="H142" s="134">
        <f t="shared" si="34"/>
        <v>0</v>
      </c>
      <c r="I142" s="134">
        <f t="shared" si="34"/>
        <v>0</v>
      </c>
      <c r="J142" s="134">
        <f t="shared" si="34"/>
        <v>0</v>
      </c>
      <c r="K142" s="134">
        <f t="shared" si="34"/>
        <v>0</v>
      </c>
      <c r="L142" s="134">
        <f t="shared" si="29"/>
        <v>0</v>
      </c>
      <c r="M142" s="134">
        <f t="shared" si="35"/>
        <v>0</v>
      </c>
      <c r="N142" s="86">
        <f>Lookups!$E$12*$E$10</f>
        <v>0</v>
      </c>
      <c r="O142" s="135">
        <f t="shared" si="36"/>
        <v>0</v>
      </c>
      <c r="P142" s="135">
        <f>O142/(1-Lookups!$E$13)</f>
        <v>0</v>
      </c>
      <c r="Q142" s="136">
        <f t="shared" si="31"/>
        <v>0</v>
      </c>
      <c r="R142" s="135">
        <f t="shared" si="37"/>
        <v>0</v>
      </c>
      <c r="S142" s="136">
        <f t="shared" si="32"/>
        <v>0</v>
      </c>
      <c r="T142" s="36">
        <v>111.206987416224</v>
      </c>
    </row>
    <row r="143" spans="4:20" x14ac:dyDescent="0.35">
      <c r="D143" s="35" t="s">
        <v>256</v>
      </c>
      <c r="E143" s="133">
        <v>0</v>
      </c>
      <c r="F143" s="134">
        <f t="shared" si="28"/>
        <v>0</v>
      </c>
      <c r="G143" s="134">
        <f t="shared" si="22"/>
        <v>0</v>
      </c>
      <c r="H143" s="134">
        <f t="shared" si="34"/>
        <v>0</v>
      </c>
      <c r="I143" s="134">
        <f t="shared" si="34"/>
        <v>0</v>
      </c>
      <c r="J143" s="134">
        <f t="shared" si="34"/>
        <v>0</v>
      </c>
      <c r="K143" s="134">
        <f t="shared" si="34"/>
        <v>0</v>
      </c>
      <c r="L143" s="134">
        <f t="shared" si="29"/>
        <v>0</v>
      </c>
      <c r="M143" s="134">
        <f t="shared" si="35"/>
        <v>0</v>
      </c>
      <c r="N143" s="86">
        <f>Lookups!$E$12*$E$10</f>
        <v>0</v>
      </c>
      <c r="O143" s="135">
        <f t="shared" si="36"/>
        <v>0</v>
      </c>
      <c r="P143" s="135">
        <f>O143/(1-Lookups!$E$13)</f>
        <v>0</v>
      </c>
      <c r="Q143" s="136">
        <f t="shared" si="31"/>
        <v>0</v>
      </c>
      <c r="R143" s="135">
        <f t="shared" si="37"/>
        <v>0</v>
      </c>
      <c r="S143" s="136">
        <f t="shared" si="32"/>
        <v>0</v>
      </c>
      <c r="T143" s="36">
        <v>99.771505516944003</v>
      </c>
    </row>
    <row r="144" spans="4:20" x14ac:dyDescent="0.35">
      <c r="D144" s="35" t="s">
        <v>257</v>
      </c>
      <c r="E144" s="133">
        <v>0</v>
      </c>
      <c r="F144" s="134">
        <f t="shared" si="28"/>
        <v>0</v>
      </c>
      <c r="G144" s="134">
        <f t="shared" si="22"/>
        <v>0</v>
      </c>
      <c r="H144" s="134">
        <f t="shared" si="34"/>
        <v>0</v>
      </c>
      <c r="I144" s="134">
        <f t="shared" si="34"/>
        <v>0</v>
      </c>
      <c r="J144" s="134">
        <f t="shared" si="34"/>
        <v>0</v>
      </c>
      <c r="K144" s="134">
        <f t="shared" si="34"/>
        <v>0</v>
      </c>
      <c r="L144" s="134">
        <f t="shared" si="29"/>
        <v>0</v>
      </c>
      <c r="M144" s="134">
        <f t="shared" si="35"/>
        <v>0</v>
      </c>
      <c r="N144" s="86">
        <f>Lookups!$E$12*$E$10</f>
        <v>0</v>
      </c>
      <c r="O144" s="135">
        <f t="shared" si="36"/>
        <v>0</v>
      </c>
      <c r="P144" s="135">
        <f>O144/(1-Lookups!$E$13)</f>
        <v>0</v>
      </c>
      <c r="Q144" s="136">
        <f t="shared" si="31"/>
        <v>0</v>
      </c>
      <c r="R144" s="135">
        <f t="shared" si="37"/>
        <v>0</v>
      </c>
      <c r="S144" s="136">
        <f t="shared" si="32"/>
        <v>0</v>
      </c>
      <c r="T144" s="36">
        <v>133.057365195816</v>
      </c>
    </row>
    <row r="145" spans="4:20" x14ac:dyDescent="0.35">
      <c r="D145" s="35" t="s">
        <v>258</v>
      </c>
      <c r="E145" s="133">
        <v>0</v>
      </c>
      <c r="F145" s="134">
        <f t="shared" si="28"/>
        <v>0</v>
      </c>
      <c r="G145" s="134">
        <f t="shared" si="22"/>
        <v>0</v>
      </c>
      <c r="H145" s="134">
        <f t="shared" si="34"/>
        <v>0</v>
      </c>
      <c r="I145" s="134">
        <f t="shared" si="34"/>
        <v>0</v>
      </c>
      <c r="J145" s="134">
        <f t="shared" si="34"/>
        <v>0</v>
      </c>
      <c r="K145" s="134">
        <f t="shared" si="34"/>
        <v>0</v>
      </c>
      <c r="L145" s="134">
        <f t="shared" si="29"/>
        <v>0</v>
      </c>
      <c r="M145" s="134">
        <f t="shared" si="35"/>
        <v>0</v>
      </c>
      <c r="N145" s="86">
        <f>Lookups!$E$12*$E$10</f>
        <v>0</v>
      </c>
      <c r="O145" s="135">
        <f t="shared" si="36"/>
        <v>0</v>
      </c>
      <c r="P145" s="135">
        <f>O145/(1-Lookups!$E$13)</f>
        <v>0</v>
      </c>
      <c r="Q145" s="136">
        <f t="shared" si="31"/>
        <v>0</v>
      </c>
      <c r="R145" s="135">
        <f t="shared" si="37"/>
        <v>0</v>
      </c>
      <c r="S145" s="136">
        <f t="shared" si="32"/>
        <v>0</v>
      </c>
      <c r="T145" s="36">
        <v>55.615789925207999</v>
      </c>
    </row>
    <row r="146" spans="4:20" x14ac:dyDescent="0.35">
      <c r="D146" s="35" t="s">
        <v>259</v>
      </c>
      <c r="E146" s="133">
        <v>0</v>
      </c>
      <c r="F146" s="134">
        <f t="shared" si="28"/>
        <v>0</v>
      </c>
      <c r="G146" s="134">
        <f t="shared" si="22"/>
        <v>0</v>
      </c>
      <c r="H146" s="134">
        <f t="shared" si="34"/>
        <v>0</v>
      </c>
      <c r="I146" s="134">
        <f t="shared" si="34"/>
        <v>0</v>
      </c>
      <c r="J146" s="134">
        <f t="shared" si="34"/>
        <v>0</v>
      </c>
      <c r="K146" s="134">
        <f t="shared" si="34"/>
        <v>0</v>
      </c>
      <c r="L146" s="134">
        <f t="shared" si="29"/>
        <v>0</v>
      </c>
      <c r="M146" s="134">
        <f t="shared" si="35"/>
        <v>0</v>
      </c>
      <c r="N146" s="86">
        <f>Lookups!$E$12*$E$10</f>
        <v>0</v>
      </c>
      <c r="O146" s="135">
        <f t="shared" si="36"/>
        <v>0</v>
      </c>
      <c r="P146" s="135">
        <f>O146/(1-Lookups!$E$13)</f>
        <v>0</v>
      </c>
      <c r="Q146" s="136">
        <f t="shared" si="31"/>
        <v>0</v>
      </c>
      <c r="R146" s="135">
        <f t="shared" si="37"/>
        <v>0</v>
      </c>
      <c r="S146" s="136">
        <f t="shared" si="32"/>
        <v>0</v>
      </c>
      <c r="T146" s="36">
        <v>66.510238272264019</v>
      </c>
    </row>
    <row r="147" spans="4:20" x14ac:dyDescent="0.35">
      <c r="D147" s="35" t="s">
        <v>260</v>
      </c>
      <c r="E147" s="133">
        <v>0</v>
      </c>
      <c r="F147" s="134">
        <f t="shared" si="28"/>
        <v>0</v>
      </c>
      <c r="G147" s="134">
        <f t="shared" si="22"/>
        <v>0</v>
      </c>
      <c r="H147" s="134">
        <f t="shared" si="34"/>
        <v>0</v>
      </c>
      <c r="I147" s="134">
        <f t="shared" si="34"/>
        <v>0</v>
      </c>
      <c r="J147" s="134">
        <f t="shared" si="34"/>
        <v>0</v>
      </c>
      <c r="K147" s="134">
        <f t="shared" si="34"/>
        <v>0</v>
      </c>
      <c r="L147" s="134">
        <f t="shared" si="29"/>
        <v>0</v>
      </c>
      <c r="M147" s="134">
        <f t="shared" si="35"/>
        <v>0</v>
      </c>
      <c r="N147" s="86">
        <f>Lookups!$E$12*$E$10</f>
        <v>0</v>
      </c>
      <c r="O147" s="135">
        <f t="shared" si="36"/>
        <v>0</v>
      </c>
      <c r="P147" s="135">
        <f>O147/(1-Lookups!$E$13)</f>
        <v>0</v>
      </c>
      <c r="Q147" s="136">
        <f t="shared" si="31"/>
        <v>0</v>
      </c>
      <c r="R147" s="135">
        <f t="shared" si="37"/>
        <v>0</v>
      </c>
      <c r="S147" s="136">
        <f t="shared" si="32"/>
        <v>0</v>
      </c>
      <c r="T147" s="36">
        <v>166.83507355852802</v>
      </c>
    </row>
    <row r="148" spans="4:20" x14ac:dyDescent="0.35">
      <c r="D148" s="35" t="s">
        <v>261</v>
      </c>
      <c r="E148" s="133">
        <v>0</v>
      </c>
      <c r="F148" s="134">
        <f t="shared" si="28"/>
        <v>0</v>
      </c>
      <c r="G148" s="134">
        <f t="shared" si="22"/>
        <v>0</v>
      </c>
      <c r="H148" s="134">
        <f t="shared" si="34"/>
        <v>0</v>
      </c>
      <c r="I148" s="134">
        <f t="shared" si="34"/>
        <v>0</v>
      </c>
      <c r="J148" s="134">
        <f t="shared" si="34"/>
        <v>0</v>
      </c>
      <c r="K148" s="134">
        <f t="shared" si="34"/>
        <v>0</v>
      </c>
      <c r="L148" s="134">
        <f t="shared" si="29"/>
        <v>0</v>
      </c>
      <c r="M148" s="134">
        <f t="shared" si="30"/>
        <v>0</v>
      </c>
      <c r="N148" s="86">
        <f>Lookups!$E$12*$E$10</f>
        <v>0</v>
      </c>
      <c r="O148" s="135">
        <f t="shared" si="23"/>
        <v>0</v>
      </c>
      <c r="P148" s="135">
        <f>O148/(1-Lookups!$E$13)</f>
        <v>0</v>
      </c>
      <c r="Q148" s="136">
        <f t="shared" si="31"/>
        <v>0</v>
      </c>
      <c r="R148" s="135">
        <f t="shared" si="24"/>
        <v>0</v>
      </c>
      <c r="S148" s="136">
        <f t="shared" si="32"/>
        <v>0</v>
      </c>
      <c r="T148" s="36">
        <v>199.55530725098401</v>
      </c>
    </row>
    <row r="149" spans="4:20" x14ac:dyDescent="0.35">
      <c r="D149" s="35" t="s">
        <v>262</v>
      </c>
      <c r="E149" s="133">
        <v>0</v>
      </c>
      <c r="F149" s="134">
        <f t="shared" si="28"/>
        <v>0</v>
      </c>
      <c r="G149" s="134">
        <f t="shared" si="22"/>
        <v>0</v>
      </c>
      <c r="H149" s="134">
        <f t="shared" si="34"/>
        <v>0</v>
      </c>
      <c r="I149" s="134">
        <f t="shared" si="34"/>
        <v>0</v>
      </c>
      <c r="J149" s="134">
        <f t="shared" si="34"/>
        <v>0</v>
      </c>
      <c r="K149" s="134">
        <f t="shared" si="34"/>
        <v>0</v>
      </c>
      <c r="L149" s="134">
        <f t="shared" si="29"/>
        <v>0</v>
      </c>
      <c r="M149" s="134">
        <f t="shared" si="30"/>
        <v>0</v>
      </c>
      <c r="N149" s="86">
        <f>Lookups!$E$12*$E$10</f>
        <v>0</v>
      </c>
      <c r="O149" s="135">
        <f t="shared" si="23"/>
        <v>0</v>
      </c>
      <c r="P149" s="135">
        <f>O149/(1-Lookups!$E$13)</f>
        <v>0</v>
      </c>
      <c r="Q149" s="136">
        <f t="shared" si="31"/>
        <v>0</v>
      </c>
      <c r="R149" s="135">
        <f t="shared" si="24"/>
        <v>0</v>
      </c>
      <c r="S149" s="136">
        <f t="shared" si="32"/>
        <v>0</v>
      </c>
      <c r="T149" s="36">
        <v>111.206987416224</v>
      </c>
    </row>
    <row r="150" spans="4:20" x14ac:dyDescent="0.35">
      <c r="D150" s="35" t="s">
        <v>263</v>
      </c>
      <c r="E150" s="133">
        <v>0</v>
      </c>
      <c r="F150" s="134">
        <f t="shared" si="28"/>
        <v>0</v>
      </c>
      <c r="G150" s="134">
        <f t="shared" si="22"/>
        <v>0</v>
      </c>
      <c r="H150" s="134">
        <f t="shared" si="34"/>
        <v>0</v>
      </c>
      <c r="I150" s="134">
        <f t="shared" si="34"/>
        <v>0</v>
      </c>
      <c r="J150" s="134">
        <f t="shared" si="34"/>
        <v>0</v>
      </c>
      <c r="K150" s="134">
        <f t="shared" si="34"/>
        <v>0</v>
      </c>
      <c r="L150" s="134">
        <f t="shared" si="29"/>
        <v>0</v>
      </c>
      <c r="M150" s="134">
        <f t="shared" si="30"/>
        <v>0</v>
      </c>
      <c r="N150" s="86">
        <f>Lookups!$E$12*$E$10</f>
        <v>0</v>
      </c>
      <c r="O150" s="135">
        <f t="shared" si="23"/>
        <v>0</v>
      </c>
      <c r="P150" s="135">
        <f>O150/(1-Lookups!$E$13)</f>
        <v>0</v>
      </c>
      <c r="Q150" s="136">
        <f t="shared" si="31"/>
        <v>0</v>
      </c>
      <c r="R150" s="135">
        <f t="shared" si="24"/>
        <v>0</v>
      </c>
      <c r="S150" s="136">
        <f t="shared" si="32"/>
        <v>0</v>
      </c>
      <c r="T150" s="36">
        <v>133.057365195816</v>
      </c>
    </row>
    <row r="151" spans="4:20" x14ac:dyDescent="0.35">
      <c r="D151" s="35" t="s">
        <v>264</v>
      </c>
      <c r="E151" s="133">
        <v>0</v>
      </c>
      <c r="F151" s="134">
        <f t="shared" si="28"/>
        <v>0</v>
      </c>
      <c r="G151" s="134">
        <f t="shared" si="22"/>
        <v>0</v>
      </c>
      <c r="H151" s="134">
        <f t="shared" si="34"/>
        <v>0</v>
      </c>
      <c r="I151" s="134">
        <f t="shared" si="34"/>
        <v>0</v>
      </c>
      <c r="J151" s="134">
        <f t="shared" si="34"/>
        <v>0</v>
      </c>
      <c r="K151" s="134">
        <f t="shared" si="34"/>
        <v>0</v>
      </c>
      <c r="L151" s="134">
        <f t="shared" si="29"/>
        <v>0</v>
      </c>
      <c r="M151" s="134">
        <f t="shared" si="30"/>
        <v>0</v>
      </c>
      <c r="N151" s="86">
        <f>Lookups!$E$12*$E$10</f>
        <v>0</v>
      </c>
      <c r="O151" s="135">
        <f t="shared" si="23"/>
        <v>0</v>
      </c>
      <c r="P151" s="135">
        <f>O151/(1-Lookups!$E$13)</f>
        <v>0</v>
      </c>
      <c r="Q151" s="136">
        <f t="shared" si="31"/>
        <v>0</v>
      </c>
      <c r="R151" s="135">
        <f t="shared" si="24"/>
        <v>0</v>
      </c>
      <c r="S151" s="136">
        <f t="shared" si="32"/>
        <v>0</v>
      </c>
      <c r="T151" s="36">
        <v>146.33727965949603</v>
      </c>
    </row>
    <row r="152" spans="4:20" x14ac:dyDescent="0.35">
      <c r="D152" s="35" t="s">
        <v>265</v>
      </c>
      <c r="E152" s="133">
        <v>0</v>
      </c>
      <c r="F152" s="134">
        <f t="shared" ref="F152:F164" si="38">$E152*F$16</f>
        <v>0</v>
      </c>
      <c r="G152" s="134">
        <f t="shared" si="22"/>
        <v>0</v>
      </c>
      <c r="H152" s="134">
        <f t="shared" si="34"/>
        <v>0</v>
      </c>
      <c r="I152" s="134">
        <f t="shared" si="34"/>
        <v>0</v>
      </c>
      <c r="J152" s="134">
        <f t="shared" si="34"/>
        <v>0</v>
      </c>
      <c r="K152" s="134">
        <f t="shared" si="34"/>
        <v>0</v>
      </c>
      <c r="L152" s="134">
        <f t="shared" ref="L152:L164" si="39">$K152*L$16</f>
        <v>0</v>
      </c>
      <c r="M152" s="134">
        <f t="shared" ref="M152:M164" si="40">SUM(E152:L152)</f>
        <v>0</v>
      </c>
      <c r="N152" s="86">
        <f>Lookups!$E$12*$E$10</f>
        <v>0</v>
      </c>
      <c r="O152" s="135">
        <f t="shared" si="23"/>
        <v>0</v>
      </c>
      <c r="P152" s="135">
        <f>O152/(1-Lookups!$E$13)</f>
        <v>0</v>
      </c>
      <c r="Q152" s="136">
        <f t="shared" ref="Q152:Q164" si="41">$P152/Q$16</f>
        <v>0</v>
      </c>
      <c r="R152" s="135">
        <f t="shared" si="24"/>
        <v>0</v>
      </c>
      <c r="S152" s="136">
        <f t="shared" ref="S152:S164" si="42">$P152/S$16</f>
        <v>0</v>
      </c>
      <c r="T152" s="36">
        <v>73.174787938296006</v>
      </c>
    </row>
    <row r="153" spans="4:20" x14ac:dyDescent="0.35">
      <c r="D153" s="35" t="s">
        <v>266</v>
      </c>
      <c r="E153" s="133">
        <v>0</v>
      </c>
      <c r="F153" s="134">
        <f t="shared" si="38"/>
        <v>0</v>
      </c>
      <c r="G153" s="134">
        <f t="shared" ref="G153:G164" si="43">$E153*G$16*4/52</f>
        <v>0</v>
      </c>
      <c r="H153" s="134">
        <f t="shared" si="34"/>
        <v>0</v>
      </c>
      <c r="I153" s="134">
        <f t="shared" si="34"/>
        <v>0</v>
      </c>
      <c r="J153" s="134">
        <f t="shared" si="34"/>
        <v>0</v>
      </c>
      <c r="K153" s="134">
        <f t="shared" si="34"/>
        <v>0</v>
      </c>
      <c r="L153" s="134">
        <f t="shared" si="39"/>
        <v>0</v>
      </c>
      <c r="M153" s="134">
        <f t="shared" si="40"/>
        <v>0</v>
      </c>
      <c r="N153" s="86">
        <f>Lookups!$E$12*$E$10</f>
        <v>0</v>
      </c>
      <c r="O153" s="135">
        <f t="shared" ref="O153:O164" si="44">$M153*(1+N153)</f>
        <v>0</v>
      </c>
      <c r="P153" s="135">
        <f>O153/(1-Lookups!$E$13)</f>
        <v>0</v>
      </c>
      <c r="Q153" s="136">
        <f t="shared" si="41"/>
        <v>0</v>
      </c>
      <c r="R153" s="135">
        <f t="shared" ref="R153:R164" si="45">S153*R$16</f>
        <v>0</v>
      </c>
      <c r="S153" s="136">
        <f t="shared" si="42"/>
        <v>0</v>
      </c>
      <c r="T153" s="36">
        <v>94.115245652784026</v>
      </c>
    </row>
    <row r="154" spans="4:20" x14ac:dyDescent="0.35">
      <c r="D154" s="35" t="s">
        <v>267</v>
      </c>
      <c r="E154" s="133">
        <v>0</v>
      </c>
      <c r="F154" s="134">
        <f t="shared" si="38"/>
        <v>0</v>
      </c>
      <c r="G154" s="134">
        <f t="shared" si="43"/>
        <v>0</v>
      </c>
      <c r="H154" s="134">
        <f t="shared" si="34"/>
        <v>0</v>
      </c>
      <c r="I154" s="134">
        <f t="shared" si="34"/>
        <v>0</v>
      </c>
      <c r="J154" s="134">
        <f t="shared" si="34"/>
        <v>0</v>
      </c>
      <c r="K154" s="134">
        <f t="shared" si="34"/>
        <v>0</v>
      </c>
      <c r="L154" s="134">
        <f t="shared" si="39"/>
        <v>0</v>
      </c>
      <c r="M154" s="134">
        <f t="shared" si="40"/>
        <v>0</v>
      </c>
      <c r="N154" s="86">
        <f>Lookups!$E$12*$E$10</f>
        <v>0</v>
      </c>
      <c r="O154" s="135">
        <f t="shared" si="44"/>
        <v>0</v>
      </c>
      <c r="P154" s="135">
        <f>O154/(1-Lookups!$E$13)</f>
        <v>0</v>
      </c>
      <c r="Q154" s="136">
        <f t="shared" si="41"/>
        <v>0</v>
      </c>
      <c r="R154" s="135">
        <f t="shared" si="45"/>
        <v>0</v>
      </c>
      <c r="S154" s="136">
        <f t="shared" si="42"/>
        <v>0</v>
      </c>
      <c r="T154" s="36">
        <v>94.115245652784026</v>
      </c>
    </row>
    <row r="155" spans="4:20" x14ac:dyDescent="0.35">
      <c r="D155" s="35" t="s">
        <v>268</v>
      </c>
      <c r="E155" s="133">
        <v>0</v>
      </c>
      <c r="F155" s="134">
        <f t="shared" si="38"/>
        <v>0</v>
      </c>
      <c r="G155" s="134">
        <f t="shared" si="43"/>
        <v>0</v>
      </c>
      <c r="H155" s="134">
        <f t="shared" si="34"/>
        <v>0</v>
      </c>
      <c r="I155" s="134">
        <f t="shared" si="34"/>
        <v>0</v>
      </c>
      <c r="J155" s="134">
        <f t="shared" si="34"/>
        <v>0</v>
      </c>
      <c r="K155" s="134">
        <f t="shared" si="34"/>
        <v>0</v>
      </c>
      <c r="L155" s="134">
        <f t="shared" si="39"/>
        <v>0</v>
      </c>
      <c r="M155" s="134">
        <f t="shared" si="40"/>
        <v>0</v>
      </c>
      <c r="N155" s="86">
        <f>Lookups!$E$12*$E$10</f>
        <v>0</v>
      </c>
      <c r="O155" s="135">
        <f t="shared" si="44"/>
        <v>0</v>
      </c>
      <c r="P155" s="135">
        <f>O155/(1-Lookups!$E$13)</f>
        <v>0</v>
      </c>
      <c r="Q155" s="136">
        <f t="shared" si="41"/>
        <v>0</v>
      </c>
      <c r="R155" s="135">
        <f t="shared" si="45"/>
        <v>0</v>
      </c>
      <c r="S155" s="136">
        <f t="shared" si="42"/>
        <v>0</v>
      </c>
      <c r="T155" s="36">
        <v>47.082215260584007</v>
      </c>
    </row>
    <row r="156" spans="4:20" x14ac:dyDescent="0.35">
      <c r="D156" s="35" t="s">
        <v>269</v>
      </c>
      <c r="E156" s="133">
        <v>0</v>
      </c>
      <c r="F156" s="134">
        <f t="shared" si="38"/>
        <v>0</v>
      </c>
      <c r="G156" s="134">
        <f t="shared" si="43"/>
        <v>0</v>
      </c>
      <c r="H156" s="134">
        <f t="shared" si="34"/>
        <v>0</v>
      </c>
      <c r="I156" s="134">
        <f t="shared" si="34"/>
        <v>0</v>
      </c>
      <c r="J156" s="134">
        <f t="shared" si="34"/>
        <v>0</v>
      </c>
      <c r="K156" s="134">
        <f t="shared" si="34"/>
        <v>0</v>
      </c>
      <c r="L156" s="134">
        <f t="shared" si="39"/>
        <v>0</v>
      </c>
      <c r="M156" s="134">
        <f t="shared" si="40"/>
        <v>0</v>
      </c>
      <c r="N156" s="86">
        <f>Lookups!$E$12*$E$10</f>
        <v>0</v>
      </c>
      <c r="O156" s="135">
        <f t="shared" si="44"/>
        <v>0</v>
      </c>
      <c r="P156" s="135">
        <f>O156/(1-Lookups!$E$13)</f>
        <v>0</v>
      </c>
      <c r="Q156" s="136">
        <f t="shared" si="41"/>
        <v>0</v>
      </c>
      <c r="R156" s="135">
        <f t="shared" si="45"/>
        <v>0</v>
      </c>
      <c r="S156" s="136">
        <f t="shared" si="42"/>
        <v>0</v>
      </c>
      <c r="T156" s="36">
        <v>47.082215260584007</v>
      </c>
    </row>
    <row r="157" spans="4:20" x14ac:dyDescent="0.35">
      <c r="D157" s="35" t="s">
        <v>270</v>
      </c>
      <c r="E157" s="133">
        <v>0</v>
      </c>
      <c r="F157" s="134">
        <f t="shared" si="38"/>
        <v>0</v>
      </c>
      <c r="G157" s="134">
        <f t="shared" si="43"/>
        <v>0</v>
      </c>
      <c r="H157" s="134">
        <f t="shared" si="34"/>
        <v>0</v>
      </c>
      <c r="I157" s="134">
        <f t="shared" si="34"/>
        <v>0</v>
      </c>
      <c r="J157" s="134">
        <f t="shared" si="34"/>
        <v>0</v>
      </c>
      <c r="K157" s="134">
        <f t="shared" si="34"/>
        <v>0</v>
      </c>
      <c r="L157" s="134">
        <f t="shared" si="39"/>
        <v>0</v>
      </c>
      <c r="M157" s="134">
        <f t="shared" si="40"/>
        <v>0</v>
      </c>
      <c r="N157" s="86">
        <f>Lookups!$E$12*$E$10</f>
        <v>0</v>
      </c>
      <c r="O157" s="135">
        <f t="shared" si="44"/>
        <v>0</v>
      </c>
      <c r="P157" s="135">
        <f>O157/(1-Lookups!$E$13)</f>
        <v>0</v>
      </c>
      <c r="Q157" s="136">
        <f t="shared" si="41"/>
        <v>0</v>
      </c>
      <c r="R157" s="135">
        <f t="shared" si="45"/>
        <v>0</v>
      </c>
      <c r="S157" s="136">
        <f t="shared" si="42"/>
        <v>0</v>
      </c>
      <c r="T157" s="36">
        <v>111.36683823847203</v>
      </c>
    </row>
    <row r="158" spans="4:20" x14ac:dyDescent="0.35">
      <c r="D158" s="35" t="s">
        <v>271</v>
      </c>
      <c r="E158" s="133">
        <v>0</v>
      </c>
      <c r="F158" s="134">
        <f t="shared" si="38"/>
        <v>0</v>
      </c>
      <c r="G158" s="134">
        <f t="shared" si="43"/>
        <v>0</v>
      </c>
      <c r="H158" s="134">
        <f t="shared" si="34"/>
        <v>0</v>
      </c>
      <c r="I158" s="134">
        <f t="shared" si="34"/>
        <v>0</v>
      </c>
      <c r="J158" s="134">
        <f t="shared" si="34"/>
        <v>0</v>
      </c>
      <c r="K158" s="134">
        <f t="shared" si="34"/>
        <v>0</v>
      </c>
      <c r="L158" s="134">
        <f t="shared" si="39"/>
        <v>0</v>
      </c>
      <c r="M158" s="134">
        <f t="shared" si="40"/>
        <v>0</v>
      </c>
      <c r="N158" s="86">
        <f>Lookups!$E$12*$E$10</f>
        <v>0</v>
      </c>
      <c r="O158" s="135">
        <f t="shared" si="44"/>
        <v>0</v>
      </c>
      <c r="P158" s="135">
        <f>O158/(1-Lookups!$E$13)</f>
        <v>0</v>
      </c>
      <c r="Q158" s="136">
        <f t="shared" si="41"/>
        <v>0</v>
      </c>
      <c r="R158" s="135">
        <f t="shared" si="45"/>
        <v>0</v>
      </c>
      <c r="S158" s="136">
        <f t="shared" si="42"/>
        <v>0</v>
      </c>
      <c r="T158" s="36">
        <v>55.67727101068801</v>
      </c>
    </row>
    <row r="159" spans="4:20" x14ac:dyDescent="0.35">
      <c r="D159" s="35" t="s">
        <v>272</v>
      </c>
      <c r="E159" s="31">
        <v>0</v>
      </c>
      <c r="F159" s="32">
        <f t="shared" si="38"/>
        <v>0</v>
      </c>
      <c r="G159" s="32">
        <f t="shared" si="43"/>
        <v>0</v>
      </c>
      <c r="H159" s="32">
        <f t="shared" si="34"/>
        <v>0</v>
      </c>
      <c r="I159" s="32">
        <f t="shared" si="34"/>
        <v>0</v>
      </c>
      <c r="J159" s="32">
        <f t="shared" si="34"/>
        <v>0</v>
      </c>
      <c r="K159" s="32">
        <f t="shared" si="34"/>
        <v>0</v>
      </c>
      <c r="L159" s="32">
        <f t="shared" si="39"/>
        <v>0</v>
      </c>
      <c r="M159" s="32">
        <f t="shared" si="40"/>
        <v>0</v>
      </c>
      <c r="N159" s="131">
        <f>Lookups!$E$12*$E$10</f>
        <v>0</v>
      </c>
      <c r="O159" s="33">
        <f t="shared" si="44"/>
        <v>0</v>
      </c>
      <c r="P159" s="33">
        <f>O159/(1-Lookups!$E$13)</f>
        <v>0</v>
      </c>
      <c r="Q159" s="34">
        <f t="shared" si="41"/>
        <v>0</v>
      </c>
      <c r="R159" s="33">
        <f t="shared" si="45"/>
        <v>0</v>
      </c>
      <c r="S159" s="34">
        <f t="shared" si="42"/>
        <v>0</v>
      </c>
      <c r="T159" s="36">
        <f t="shared" ref="T159:T164" si="46">S159/T$16</f>
        <v>0</v>
      </c>
    </row>
    <row r="160" spans="4:20" x14ac:dyDescent="0.35">
      <c r="D160" s="35" t="s">
        <v>272</v>
      </c>
      <c r="E160" s="31">
        <v>0</v>
      </c>
      <c r="F160" s="32">
        <f t="shared" si="38"/>
        <v>0</v>
      </c>
      <c r="G160" s="32">
        <f t="shared" si="43"/>
        <v>0</v>
      </c>
      <c r="H160" s="32">
        <f t="shared" si="34"/>
        <v>0</v>
      </c>
      <c r="I160" s="32">
        <f t="shared" si="34"/>
        <v>0</v>
      </c>
      <c r="J160" s="32">
        <f t="shared" si="34"/>
        <v>0</v>
      </c>
      <c r="K160" s="32">
        <f t="shared" si="34"/>
        <v>0</v>
      </c>
      <c r="L160" s="32">
        <f t="shared" si="39"/>
        <v>0</v>
      </c>
      <c r="M160" s="32">
        <f t="shared" si="40"/>
        <v>0</v>
      </c>
      <c r="N160" s="131">
        <f>Lookups!$E$12*$E$10</f>
        <v>0</v>
      </c>
      <c r="O160" s="33">
        <f t="shared" si="44"/>
        <v>0</v>
      </c>
      <c r="P160" s="33">
        <f>O160/(1-Lookups!$E$13)</f>
        <v>0</v>
      </c>
      <c r="Q160" s="34">
        <f t="shared" si="41"/>
        <v>0</v>
      </c>
      <c r="R160" s="33">
        <f t="shared" si="45"/>
        <v>0</v>
      </c>
      <c r="S160" s="34">
        <f t="shared" si="42"/>
        <v>0</v>
      </c>
      <c r="T160" s="36">
        <f t="shared" si="46"/>
        <v>0</v>
      </c>
    </row>
    <row r="161" spans="4:20" x14ac:dyDescent="0.35">
      <c r="D161" s="35" t="s">
        <v>272</v>
      </c>
      <c r="E161" s="31">
        <v>0</v>
      </c>
      <c r="F161" s="32">
        <f t="shared" si="38"/>
        <v>0</v>
      </c>
      <c r="G161" s="32">
        <f t="shared" si="43"/>
        <v>0</v>
      </c>
      <c r="H161" s="32">
        <f t="shared" si="34"/>
        <v>0</v>
      </c>
      <c r="I161" s="32">
        <f t="shared" si="34"/>
        <v>0</v>
      </c>
      <c r="J161" s="32">
        <f t="shared" si="34"/>
        <v>0</v>
      </c>
      <c r="K161" s="32">
        <f t="shared" si="34"/>
        <v>0</v>
      </c>
      <c r="L161" s="32">
        <f t="shared" si="39"/>
        <v>0</v>
      </c>
      <c r="M161" s="32">
        <f t="shared" si="40"/>
        <v>0</v>
      </c>
      <c r="N161" s="131">
        <f>Lookups!$E$12*$E$10</f>
        <v>0</v>
      </c>
      <c r="O161" s="33">
        <f t="shared" si="44"/>
        <v>0</v>
      </c>
      <c r="P161" s="33">
        <f>O161/(1-Lookups!$E$13)</f>
        <v>0</v>
      </c>
      <c r="Q161" s="34">
        <f t="shared" si="41"/>
        <v>0</v>
      </c>
      <c r="R161" s="33">
        <f t="shared" si="45"/>
        <v>0</v>
      </c>
      <c r="S161" s="34">
        <f t="shared" si="42"/>
        <v>0</v>
      </c>
      <c r="T161" s="36">
        <f t="shared" si="46"/>
        <v>0</v>
      </c>
    </row>
    <row r="162" spans="4:20" x14ac:dyDescent="0.35">
      <c r="D162" s="35" t="s">
        <v>272</v>
      </c>
      <c r="E162" s="31">
        <v>0</v>
      </c>
      <c r="F162" s="32">
        <f t="shared" si="38"/>
        <v>0</v>
      </c>
      <c r="G162" s="32">
        <f t="shared" si="43"/>
        <v>0</v>
      </c>
      <c r="H162" s="32">
        <f t="shared" si="34"/>
        <v>0</v>
      </c>
      <c r="I162" s="32">
        <f t="shared" si="34"/>
        <v>0</v>
      </c>
      <c r="J162" s="32">
        <f t="shared" si="34"/>
        <v>0</v>
      </c>
      <c r="K162" s="32">
        <f t="shared" si="34"/>
        <v>0</v>
      </c>
      <c r="L162" s="32">
        <f t="shared" si="39"/>
        <v>0</v>
      </c>
      <c r="M162" s="32">
        <f t="shared" si="40"/>
        <v>0</v>
      </c>
      <c r="N162" s="131">
        <f>Lookups!$E$12*$E$10</f>
        <v>0</v>
      </c>
      <c r="O162" s="33">
        <f t="shared" si="44"/>
        <v>0</v>
      </c>
      <c r="P162" s="33">
        <f>O162/(1-Lookups!$E$13)</f>
        <v>0</v>
      </c>
      <c r="Q162" s="34">
        <f t="shared" si="41"/>
        <v>0</v>
      </c>
      <c r="R162" s="33">
        <f t="shared" si="45"/>
        <v>0</v>
      </c>
      <c r="S162" s="34">
        <f t="shared" si="42"/>
        <v>0</v>
      </c>
      <c r="T162" s="36">
        <f t="shared" si="46"/>
        <v>0</v>
      </c>
    </row>
    <row r="163" spans="4:20" x14ac:dyDescent="0.35">
      <c r="D163" s="35" t="s">
        <v>272</v>
      </c>
      <c r="E163" s="31">
        <v>0</v>
      </c>
      <c r="F163" s="32">
        <f t="shared" si="38"/>
        <v>0</v>
      </c>
      <c r="G163" s="32">
        <f t="shared" si="43"/>
        <v>0</v>
      </c>
      <c r="H163" s="32">
        <f t="shared" si="34"/>
        <v>0</v>
      </c>
      <c r="I163" s="32">
        <f t="shared" si="34"/>
        <v>0</v>
      </c>
      <c r="J163" s="32">
        <f t="shared" si="34"/>
        <v>0</v>
      </c>
      <c r="K163" s="32">
        <f t="shared" si="34"/>
        <v>0</v>
      </c>
      <c r="L163" s="32">
        <f t="shared" si="39"/>
        <v>0</v>
      </c>
      <c r="M163" s="32">
        <f t="shared" si="40"/>
        <v>0</v>
      </c>
      <c r="N163" s="131">
        <f>Lookups!$E$12*$E$10</f>
        <v>0</v>
      </c>
      <c r="O163" s="33">
        <f t="shared" si="44"/>
        <v>0</v>
      </c>
      <c r="P163" s="33">
        <f>O163/(1-Lookups!$E$13)</f>
        <v>0</v>
      </c>
      <c r="Q163" s="34">
        <f t="shared" si="41"/>
        <v>0</v>
      </c>
      <c r="R163" s="33">
        <f t="shared" si="45"/>
        <v>0</v>
      </c>
      <c r="S163" s="34">
        <f t="shared" si="42"/>
        <v>0</v>
      </c>
      <c r="T163" s="36">
        <f t="shared" si="46"/>
        <v>0</v>
      </c>
    </row>
    <row r="164" spans="4:20" ht="16.5" thickBot="1" x14ac:dyDescent="0.4">
      <c r="D164" s="37" t="s">
        <v>272</v>
      </c>
      <c r="E164" s="38">
        <v>0</v>
      </c>
      <c r="F164" s="39">
        <f t="shared" si="38"/>
        <v>0</v>
      </c>
      <c r="G164" s="39">
        <f t="shared" si="43"/>
        <v>0</v>
      </c>
      <c r="H164" s="39">
        <f t="shared" si="34"/>
        <v>0</v>
      </c>
      <c r="I164" s="39">
        <f t="shared" si="34"/>
        <v>0</v>
      </c>
      <c r="J164" s="39">
        <f t="shared" si="34"/>
        <v>0</v>
      </c>
      <c r="K164" s="39">
        <f t="shared" si="34"/>
        <v>0</v>
      </c>
      <c r="L164" s="39">
        <f t="shared" si="39"/>
        <v>0</v>
      </c>
      <c r="M164" s="39">
        <f t="shared" si="40"/>
        <v>0</v>
      </c>
      <c r="N164" s="131">
        <f>Lookups!$E$12*$E$10</f>
        <v>0</v>
      </c>
      <c r="O164" s="40">
        <f t="shared" si="44"/>
        <v>0</v>
      </c>
      <c r="P164" s="40">
        <f>O164/(1-Lookups!$E$13)</f>
        <v>0</v>
      </c>
      <c r="Q164" s="41">
        <f t="shared" si="41"/>
        <v>0</v>
      </c>
      <c r="R164" s="40">
        <f t="shared" si="45"/>
        <v>0</v>
      </c>
      <c r="S164" s="41">
        <f t="shared" si="42"/>
        <v>0</v>
      </c>
      <c r="T164" s="42">
        <f t="shared" si="46"/>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811C49C5495043925DF1D147D0F00B" ma:contentTypeVersion="16" ma:contentTypeDescription="Create a new document." ma:contentTypeScope="" ma:versionID="dbf120988a652147631e95f02df7a790">
  <xsd:schema xmlns:xsd="http://www.w3.org/2001/XMLSchema" xmlns:xs="http://www.w3.org/2001/XMLSchema" xmlns:p="http://schemas.microsoft.com/office/2006/metadata/properties" xmlns:ns1="http://schemas.microsoft.com/sharepoint/v3" xmlns:ns2="8e223656-55c6-4a3f-9700-77cc8e7e0cb3" xmlns:ns3="29f388b6-5f7a-4a5f-a2d7-f8cb6e8d42dd" xmlns:ns4="ae5394b7-e16c-4952-833f-5730ecb68a4d" targetNamespace="http://schemas.microsoft.com/office/2006/metadata/properties" ma:root="true" ma:fieldsID="a0f42a1adb9ec35b17faa4cc5571d5cc" ns1:_="" ns2:_="" ns3:_="" ns4:_="">
    <xsd:import namespace="http://schemas.microsoft.com/sharepoint/v3"/>
    <xsd:import namespace="8e223656-55c6-4a3f-9700-77cc8e7e0cb3"/>
    <xsd:import namespace="29f388b6-5f7a-4a5f-a2d7-f8cb6e8d42dd"/>
    <xsd:import namespace="ae5394b7-e16c-4952-833f-5730ecb68a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MediaServiceAutoKeyPoints" minOccurs="0"/>
                <xsd:element ref="ns3:MediaServiceKeyPoint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223656-55c6-4a3f-9700-77cc8e7e0cb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f388b6-5f7a-4a5f-a2d7-f8cb6e8d42d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abdcd4-f995-4be8-8c9c-da1b1eb6b5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e5394b7-e16c-4952-833f-5730ecb68a4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7661742-3998-44f0-af9c-47d62c12c68a}" ma:internalName="TaxCatchAll" ma:showField="CatchAllData" ma:web="8e223656-55c6-4a3f-9700-77cc8e7e0c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e223656-55c6-4a3f-9700-77cc8e7e0cb3">
      <UserInfo>
        <DisplayName>Paula Johnston</DisplayName>
        <AccountId>156</AccountId>
        <AccountType/>
      </UserInfo>
      <UserInfo>
        <DisplayName>Paul McCubbin</DisplayName>
        <AccountId>221</AccountId>
        <AccountType/>
      </UserInfo>
    </SharedWithUsers>
    <lcf76f155ced4ddcb4097134ff3c332f xmlns="29f388b6-5f7a-4a5f-a2d7-f8cb6e8d42dd">
      <Terms xmlns="http://schemas.microsoft.com/office/infopath/2007/PartnerControls"/>
    </lcf76f155ced4ddcb4097134ff3c332f>
    <TaxCatchAll xmlns="ae5394b7-e16c-4952-833f-5730ecb68a4d" xsi:nil="true"/>
  </documentManagement>
</p:properties>
</file>

<file path=customXml/itemProps1.xml><?xml version="1.0" encoding="utf-8"?>
<ds:datastoreItem xmlns:ds="http://schemas.openxmlformats.org/officeDocument/2006/customXml" ds:itemID="{70745D88-3F91-4ED7-9E9F-DD06AE997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e223656-55c6-4a3f-9700-77cc8e7e0cb3"/>
    <ds:schemaRef ds:uri="29f388b6-5f7a-4a5f-a2d7-f8cb6e8d42dd"/>
    <ds:schemaRef ds:uri="ae5394b7-e16c-4952-833f-5730ecb68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62AC27-A2CF-4E47-9B89-CB6A59888A4B}">
  <ds:schemaRefs>
    <ds:schemaRef ds:uri="http://schemas.microsoft.com/sharepoint/v3/contenttype/forms"/>
  </ds:schemaRefs>
</ds:datastoreItem>
</file>

<file path=customXml/itemProps3.xml><?xml version="1.0" encoding="utf-8"?>
<ds:datastoreItem xmlns:ds="http://schemas.openxmlformats.org/officeDocument/2006/customXml" ds:itemID="{C7BA1B8C-BFEA-4837-BAC8-75F0E84843BE}">
  <ds:schemaRefs>
    <ds:schemaRef ds:uri="http://schemas.microsoft.com/office/2006/metadata/properties"/>
    <ds:schemaRef ds:uri="http://schemas.microsoft.com/office/infopath/2007/PartnerControls"/>
    <ds:schemaRef ds:uri="http://schemas.microsoft.com/sharepoint/v3"/>
    <ds:schemaRef ds:uri="8e223656-55c6-4a3f-9700-77cc8e7e0cb3"/>
    <ds:schemaRef ds:uri="29f388b6-5f7a-4a5f-a2d7-f8cb6e8d42dd"/>
    <ds:schemaRef ds:uri="ae5394b7-e16c-4952-833f-5730ecb68a4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Summary</vt:lpstr>
      <vt:lpstr>Sign-off</vt:lpstr>
      <vt:lpstr>Checklist</vt:lpstr>
      <vt:lpstr>Financial Assumptions</vt:lpstr>
      <vt:lpstr>iLab Charge Summary</vt:lpstr>
      <vt:lpstr>Lookups</vt:lpstr>
      <vt:lpstr>CHG_TYPE</vt:lpstr>
      <vt:lpstr>EQUIP_TYPE</vt:lpstr>
      <vt:lpstr>Fund</vt:lpstr>
      <vt:lpstr>Summary!Model_Name</vt:lpstr>
      <vt:lpstr>Checklist!Print_Area</vt:lpstr>
      <vt:lpstr>'Financial Assumptions'!Print_Area</vt:lpstr>
      <vt:lpstr>'Sign-off'!Print_Area</vt:lpstr>
      <vt:lpstr>Salary_Level</vt:lpstr>
      <vt:lpstr>USAGE_TYPE</vt:lpstr>
    </vt:vector>
  </TitlesOfParts>
  <Manager/>
  <Company>The University of Newcastle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testuser1</dc:creator>
  <cp:keywords/>
  <dc:description/>
  <cp:lastModifiedBy>Carol McGrath</cp:lastModifiedBy>
  <cp:revision/>
  <dcterms:created xsi:type="dcterms:W3CDTF">2016-01-19T23:16:14Z</dcterms:created>
  <dcterms:modified xsi:type="dcterms:W3CDTF">2022-08-10T05:58:12Z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0x0101000D811C49C5495043925DF1D147D0F00B</vt:lpwstr>
  </property>
  <property fmtid="{D5CDD505-2E9C-101B-9397-08002B2CF9AE}" pid="3" name="MediaServiceImageTags">
    <vt:lpwstr/>
  </property>
</Properties>
</file>